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9440" windowHeight="9480" activeTab="1"/>
  </bookViews>
  <sheets>
    <sheet name="Приложение 5" sheetId="1" r:id="rId1"/>
    <sheet name="Приложение 6" sheetId="2" r:id="rId2"/>
    <sheet name="Лист3" sheetId="3" r:id="rId3"/>
  </sheets>
  <definedNames>
    <definedName name="_xlnm.Print_Titles" localSheetId="0">'Приложение 5'!$5:$6</definedName>
  </definedNames>
  <calcPr calcId="145621"/>
</workbook>
</file>

<file path=xl/calcChain.xml><?xml version="1.0" encoding="utf-8"?>
<calcChain xmlns="http://schemas.openxmlformats.org/spreadsheetml/2006/main">
  <c r="S24" i="1" l="1"/>
  <c r="N15" i="2"/>
  <c r="N14" i="2"/>
  <c r="N13" i="2"/>
  <c r="J52" i="1" l="1"/>
  <c r="K52" i="1"/>
  <c r="L52" i="1"/>
  <c r="M52" i="1"/>
  <c r="N52" i="1"/>
  <c r="O52" i="1"/>
  <c r="P52" i="1"/>
  <c r="Q52" i="1"/>
  <c r="R52" i="1"/>
  <c r="S52" i="1"/>
  <c r="T52" i="1"/>
  <c r="U52" i="1"/>
  <c r="I52" i="1"/>
  <c r="J44" i="1"/>
  <c r="J41" i="1" s="1"/>
  <c r="J36" i="1" s="1"/>
  <c r="K44" i="1"/>
  <c r="K41" i="1" s="1"/>
  <c r="L44" i="1"/>
  <c r="L41" i="1" s="1"/>
  <c r="L36" i="1" s="1"/>
  <c r="M44" i="1"/>
  <c r="M41" i="1" s="1"/>
  <c r="N44" i="1"/>
  <c r="N41" i="1" s="1"/>
  <c r="N36" i="1" s="1"/>
  <c r="O44" i="1"/>
  <c r="O41" i="1" s="1"/>
  <c r="P44" i="1"/>
  <c r="P41" i="1" s="1"/>
  <c r="P36" i="1" s="1"/>
  <c r="R44" i="1"/>
  <c r="R41" i="1" s="1"/>
  <c r="R36" i="1" s="1"/>
  <c r="S44" i="1"/>
  <c r="S41" i="1" s="1"/>
  <c r="S36" i="1" s="1"/>
  <c r="I44" i="1"/>
  <c r="I41" i="1" s="1"/>
  <c r="U45" i="1"/>
  <c r="U44" i="1" s="1"/>
  <c r="U41" i="1" s="1"/>
  <c r="U36" i="1" s="1"/>
  <c r="T45" i="1"/>
  <c r="T44" i="1" s="1"/>
  <c r="T41" i="1" s="1"/>
  <c r="T36" i="1" s="1"/>
  <c r="Q45" i="1"/>
  <c r="J22" i="1"/>
  <c r="J19" i="1" s="1"/>
  <c r="K22" i="1"/>
  <c r="K19" i="1" s="1"/>
  <c r="L22" i="1"/>
  <c r="L19" i="1" s="1"/>
  <c r="M22" i="1"/>
  <c r="M19" i="1" s="1"/>
  <c r="N22" i="1"/>
  <c r="N19" i="1" s="1"/>
  <c r="O22" i="1"/>
  <c r="O19" i="1" s="1"/>
  <c r="P22" i="1"/>
  <c r="P19" i="1" s="1"/>
  <c r="S22" i="1"/>
  <c r="S19" i="1" s="1"/>
  <c r="I22" i="1"/>
  <c r="I19" i="1" s="1"/>
  <c r="Q23" i="1"/>
  <c r="O36" i="1" l="1"/>
  <c r="M36" i="1"/>
  <c r="K36" i="1"/>
  <c r="J33" i="1"/>
  <c r="K33" i="1"/>
  <c r="L33" i="1"/>
  <c r="M33" i="1"/>
  <c r="N33" i="1"/>
  <c r="O33" i="1"/>
  <c r="P33" i="1"/>
  <c r="Q33" i="1"/>
  <c r="R33" i="1"/>
  <c r="S33" i="1"/>
  <c r="T33" i="1"/>
  <c r="U33" i="1"/>
  <c r="I33" i="1"/>
  <c r="D9" i="2"/>
  <c r="D15" i="2"/>
  <c r="D22" i="2"/>
  <c r="E22" i="2"/>
  <c r="F22" i="2"/>
  <c r="F14" i="2"/>
  <c r="F15" i="2"/>
  <c r="G22" i="2"/>
  <c r="H22" i="2"/>
  <c r="I15" i="2" l="1"/>
  <c r="I14" i="2"/>
  <c r="I13" i="2"/>
  <c r="I22" i="2" l="1"/>
  <c r="J22" i="2"/>
  <c r="J15" i="2"/>
  <c r="J14" i="2"/>
  <c r="J13" i="2"/>
  <c r="K22" i="2" l="1"/>
  <c r="L23" i="2" l="1"/>
  <c r="L22" i="2"/>
  <c r="M15" i="2"/>
  <c r="M14" i="2"/>
  <c r="M13" i="2"/>
  <c r="M19" i="2"/>
  <c r="M18" i="2"/>
  <c r="M17" i="2"/>
  <c r="N19" i="2" l="1"/>
  <c r="N16" i="2" s="1"/>
  <c r="E16" i="2" l="1"/>
  <c r="F16" i="2"/>
  <c r="G16" i="2"/>
  <c r="H16" i="2"/>
  <c r="I16" i="2"/>
  <c r="J16" i="2"/>
  <c r="K16" i="2"/>
  <c r="L16" i="2"/>
  <c r="M16" i="2"/>
  <c r="O16" i="2"/>
  <c r="P16" i="2"/>
  <c r="Q16" i="2"/>
  <c r="D16" i="2"/>
  <c r="I9" i="2"/>
  <c r="J9" i="2"/>
  <c r="M9" i="2"/>
  <c r="N9" i="2"/>
  <c r="Q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0" i="2"/>
  <c r="D11" i="2"/>
  <c r="E12" i="2"/>
  <c r="F12" i="2"/>
  <c r="G12" i="2"/>
  <c r="H12" i="2"/>
  <c r="I12" i="2"/>
  <c r="J12" i="2"/>
  <c r="K12" i="2"/>
  <c r="L12" i="2"/>
  <c r="M12" i="2"/>
  <c r="N12" i="2"/>
  <c r="O12" i="2"/>
  <c r="P12" i="2"/>
  <c r="D12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0" i="2"/>
  <c r="O8" i="2" l="1"/>
  <c r="D8" i="2"/>
  <c r="F8" i="2"/>
  <c r="H8" i="2"/>
  <c r="I8" i="2"/>
  <c r="G8" i="2"/>
  <c r="P8" i="2"/>
  <c r="Q8" i="2"/>
  <c r="E8" i="2"/>
  <c r="J8" i="2"/>
  <c r="K8" i="2"/>
  <c r="L8" i="2"/>
  <c r="M8" i="2"/>
  <c r="N8" i="2"/>
  <c r="I37" i="1"/>
  <c r="I36" i="1" s="1"/>
  <c r="J9" i="1"/>
  <c r="J8" i="1" s="1"/>
  <c r="U9" i="1"/>
  <c r="T9" i="1"/>
  <c r="Q9" i="1"/>
  <c r="O9" i="1"/>
  <c r="O8" i="1" s="1"/>
  <c r="N9" i="1"/>
  <c r="N8" i="1" s="1"/>
  <c r="K9" i="1"/>
  <c r="K8" i="1" s="1"/>
  <c r="S9" i="1"/>
  <c r="S8" i="1" s="1"/>
  <c r="P9" i="1"/>
  <c r="P8" i="1" s="1"/>
  <c r="M9" i="1"/>
  <c r="M8" i="1" s="1"/>
  <c r="R9" i="1"/>
  <c r="L9" i="1"/>
  <c r="L8" i="1" s="1"/>
  <c r="J62" i="1"/>
  <c r="K62" i="1"/>
  <c r="L62" i="1"/>
  <c r="M62" i="1"/>
  <c r="N62" i="1"/>
  <c r="O62" i="1"/>
  <c r="P62" i="1"/>
  <c r="Q62" i="1"/>
  <c r="R62" i="1"/>
  <c r="S62" i="1"/>
  <c r="T62" i="1"/>
  <c r="U62" i="1"/>
  <c r="I62" i="1"/>
  <c r="I14" i="1"/>
  <c r="I9" i="1"/>
  <c r="I8" i="1" s="1"/>
  <c r="U24" i="1" l="1"/>
  <c r="U22" i="1" s="1"/>
  <c r="T24" i="1"/>
  <c r="T22" i="1" s="1"/>
  <c r="U21" i="1"/>
  <c r="T21" i="1"/>
  <c r="Q57" i="1"/>
  <c r="Q56" i="1" s="1"/>
  <c r="T19" i="1" l="1"/>
  <c r="T8" i="1" s="1"/>
  <c r="U19" i="1"/>
  <c r="U8" i="1" s="1"/>
  <c r="U57" i="1"/>
  <c r="R26" i="1"/>
  <c r="R22" i="1" s="1"/>
  <c r="R20" i="1"/>
  <c r="T57" i="1"/>
  <c r="T56" i="1" s="1"/>
  <c r="T55" i="1" s="1"/>
  <c r="Q61" i="1"/>
  <c r="Q55" i="1" s="1"/>
  <c r="Q46" i="1"/>
  <c r="Q44" i="1" s="1"/>
  <c r="Q41" i="1" s="1"/>
  <c r="Q36" i="1" s="1"/>
  <c r="Q26" i="1"/>
  <c r="Q22" i="1" s="1"/>
  <c r="Q19" i="1" s="1"/>
  <c r="Q8" i="1" s="1"/>
  <c r="R19" i="1" l="1"/>
  <c r="R8" i="1" s="1"/>
  <c r="T7" i="1"/>
  <c r="U56" i="1"/>
  <c r="U55" i="1" s="1"/>
  <c r="U7" i="1" s="1"/>
  <c r="J57" i="1"/>
  <c r="J56" i="1" s="1"/>
  <c r="J55" i="1" s="1"/>
  <c r="J7" i="1" s="1"/>
  <c r="K57" i="1"/>
  <c r="K56" i="1" s="1"/>
  <c r="K55" i="1" s="1"/>
  <c r="K7" i="1" s="1"/>
  <c r="L57" i="1"/>
  <c r="L56" i="1" s="1"/>
  <c r="L55" i="1" s="1"/>
  <c r="L7" i="1" s="1"/>
  <c r="M57" i="1"/>
  <c r="M56" i="1" s="1"/>
  <c r="M55" i="1" s="1"/>
  <c r="M7" i="1" s="1"/>
  <c r="N57" i="1"/>
  <c r="N56" i="1" s="1"/>
  <c r="N55" i="1" s="1"/>
  <c r="N7" i="1" s="1"/>
  <c r="O57" i="1"/>
  <c r="O56" i="1" s="1"/>
  <c r="O55" i="1" s="1"/>
  <c r="O7" i="1" s="1"/>
  <c r="P57" i="1"/>
  <c r="P56" i="1" s="1"/>
  <c r="P55" i="1" s="1"/>
  <c r="P7" i="1" s="1"/>
  <c r="R57" i="1"/>
  <c r="R56" i="1" s="1"/>
  <c r="R55" i="1" s="1"/>
  <c r="S57" i="1"/>
  <c r="I57" i="1"/>
  <c r="I56" i="1" s="1"/>
  <c r="I55" i="1" s="1"/>
  <c r="I7" i="1" s="1"/>
  <c r="Q7" i="1" l="1"/>
  <c r="R7" i="1"/>
  <c r="S56" i="1"/>
  <c r="S55" i="1" s="1"/>
  <c r="S7" i="1" s="1"/>
</calcChain>
</file>

<file path=xl/sharedStrings.xml><?xml version="1.0" encoding="utf-8"?>
<sst xmlns="http://schemas.openxmlformats.org/spreadsheetml/2006/main" count="307" uniqueCount="88">
  <si>
    <t xml:space="preserve">РЕСУРСНОЕ ОБЕСПЕЧЕНИЕ РЕАЛИЗАЦИИ МУНИЦИПАЛЬНОЙ ПРОГРАММЫ "РАЗВИТИЕ КУЛЬТУРЫ В ГЛУШКОВСКОМ РАЙОНЕ КУРСКОЙ ОБЛАСТИ" ЗА СЧЕТ СРЕДСТВ РАЙОННОГО БЮДЖЕТА </t>
  </si>
  <si>
    <t>Приложение № 5</t>
  </si>
  <si>
    <t>К муниципальной программе "Развитие культуры в Глушковском районе Курской области"</t>
  </si>
  <si>
    <t>Статус</t>
  </si>
  <si>
    <t>Ответственный исполнитель, соисполнитель и участники</t>
  </si>
  <si>
    <t>Код бюджетной классификации</t>
  </si>
  <si>
    <t>Наименовани муниципальной ,программы  подпрограммы  муниципальной программы, ведомственной основной программы, основного мероприятия</t>
  </si>
  <si>
    <t>Расходы (тыс.руб),годы</t>
  </si>
  <si>
    <t>ГРБС</t>
  </si>
  <si>
    <t>ФСР</t>
  </si>
  <si>
    <t>ЦСР</t>
  </si>
  <si>
    <t>ВР</t>
  </si>
  <si>
    <t>Муниципальная программа</t>
  </si>
  <si>
    <t>Развитие культуры в Глушковском районе Курской области</t>
  </si>
  <si>
    <t>в том числе</t>
  </si>
  <si>
    <t>Подпрограмма 1</t>
  </si>
  <si>
    <t>Искусство</t>
  </si>
  <si>
    <t>Основное мероприятие 1.1</t>
  </si>
  <si>
    <t>Сохранение и развитие кинообслуживания населения , традиционной народной культуры  и нематериального культурного наследия Глушковского района Курской области</t>
  </si>
  <si>
    <t>005</t>
  </si>
  <si>
    <t>0801</t>
  </si>
  <si>
    <t>01101С1401</t>
  </si>
  <si>
    <t>100</t>
  </si>
  <si>
    <t>200</t>
  </si>
  <si>
    <t>800</t>
  </si>
  <si>
    <t>01101С1463</t>
  </si>
  <si>
    <t>0110111820</t>
  </si>
  <si>
    <t>01101 13320</t>
  </si>
  <si>
    <t>01101S 3320</t>
  </si>
  <si>
    <t>400</t>
  </si>
  <si>
    <t>01101L4670</t>
  </si>
  <si>
    <t>Отдел культуры Администрации Глушковского района Курской области</t>
  </si>
  <si>
    <t>Подпрограмма 2</t>
  </si>
  <si>
    <t>Развитие библиотечного дела</t>
  </si>
  <si>
    <t>01201С1401</t>
  </si>
  <si>
    <t>Х</t>
  </si>
  <si>
    <t>500</t>
  </si>
  <si>
    <t>01201С1442</t>
  </si>
  <si>
    <t>Подпрограмма 3</t>
  </si>
  <si>
    <t>Управление муниципальной программой и обеспечение условий реализации "Муниципальной программы Глушковского района Курской области"</t>
  </si>
  <si>
    <t>Основное мероприятие 3.1</t>
  </si>
  <si>
    <t>Основное мероприятие 2.1</t>
  </si>
  <si>
    <t>Наследие</t>
  </si>
  <si>
    <t>Обеспечение деятельности учреждения МКУ "Глушковская ЦБ учреждений культуры"</t>
  </si>
  <si>
    <t>0804</t>
  </si>
  <si>
    <t>01301С1401</t>
  </si>
  <si>
    <t>Основное мероприятие 3.2</t>
  </si>
  <si>
    <t>Организация осуществления отдельных государственных полномочий по предоставлению работникам муниципальных учреждений мер социальной подддержки</t>
  </si>
  <si>
    <t>0130213340</t>
  </si>
  <si>
    <t>Основное мероприятие 3.3</t>
  </si>
  <si>
    <t>Оказание мер социальной поддержки по оплате жилищно-коммунальных услуг отдельным категориям граждан</t>
  </si>
  <si>
    <t>1003</t>
  </si>
  <si>
    <t>0130313350</t>
  </si>
  <si>
    <t>300</t>
  </si>
  <si>
    <t>Приложение № 6</t>
  </si>
  <si>
    <t xml:space="preserve">РЕСУРСНОЕ ОБЕСПЕЧЕНИЕ И ПРОГНОЗНАЯ (СПРАВОЧНАЯ) ОЦЕНКА РАСХОДОВ ФЕДЕРАЛЬНОГО БЮДЖЕТА , ОБЛАСТНОГО БЮДЖЕТА,БЮДЖЕТОВ ГОСУДАРСТВЕННЫХ ВНЕБЮДЖЕТНЫХ ФОНДОВ, МЕСТНЫХ БЮДЖЕТОВ И ВНЕБЮДЖЕТНЫХ ИСТОЧНИКОВ НА РЕАЛИЗАЦИЮ ЦЕЛЕЙ  МУНИЦИПАЛЬНОЙ ПРОГРАММЫ </t>
  </si>
  <si>
    <t>источники ресурсного обеспечения</t>
  </si>
  <si>
    <t>оценка расходов (тыс.руб.) годы</t>
  </si>
  <si>
    <t>районный бюджет</t>
  </si>
  <si>
    <t>областной бюджет</t>
  </si>
  <si>
    <t>0130312802</t>
  </si>
  <si>
    <t>0110112810</t>
  </si>
  <si>
    <t>01101S2810</t>
  </si>
  <si>
    <t>011А255191</t>
  </si>
  <si>
    <t>012А255191</t>
  </si>
  <si>
    <t>011А255195</t>
  </si>
  <si>
    <t>012А255195</t>
  </si>
  <si>
    <t>001</t>
  </si>
  <si>
    <t>0120112810</t>
  </si>
  <si>
    <t>01201S2810</t>
  </si>
  <si>
    <t>0702</t>
  </si>
  <si>
    <t>0321401</t>
  </si>
  <si>
    <t>0321182</t>
  </si>
  <si>
    <t>ИТОГО</t>
  </si>
  <si>
    <t>0321466</t>
  </si>
  <si>
    <t>0311401</t>
  </si>
  <si>
    <t>федеральный бюджет</t>
  </si>
  <si>
    <t>Всего</t>
  </si>
  <si>
    <t>Наименовани муниципальной , программы  подпрограммы  муниципальной программы, ведомственной основной программы, основного мероприятия</t>
  </si>
  <si>
    <t xml:space="preserve">Развитие культуры в Глушковском районе Курской области </t>
  </si>
  <si>
    <t>Основное мероприятие 1.2</t>
  </si>
  <si>
    <t>Сохранение и развитие творческого потенциала Глушковского района Курской области</t>
  </si>
  <si>
    <t>Основное мероприятие 1.3</t>
  </si>
  <si>
    <t>Региональный проект «Творческие люди»</t>
  </si>
  <si>
    <t>001,005</t>
  </si>
  <si>
    <t>Основное мероприятие 2.2</t>
  </si>
  <si>
    <t>Основное мероприятие 2.3</t>
  </si>
  <si>
    <t>Региональный проект "Культурная среда"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</si>
</sst>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5" fontId="5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6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" fontId="0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9"/>
  <sheetViews>
    <sheetView topLeftCell="G16" zoomScaleNormal="100" workbookViewId="0">
      <selection activeCell="S8" sqref="S8"/>
    </sheetView>
  </sheetViews>
  <sheetFormatPr defaultRowHeight="15" x14ac:dyDescent="0.25"/>
  <cols>
    <col min="1" max="1" width="5.28515625" customWidth="1"/>
    <col min="2" max="2" width="12.42578125" customWidth="1"/>
    <col min="3" max="3" width="27" customWidth="1"/>
    <col min="4" max="4" width="16.7109375" customWidth="1"/>
    <col min="5" max="5" width="6.5703125" customWidth="1"/>
    <col min="6" max="6" width="7.28515625" customWidth="1"/>
    <col min="7" max="7" width="12.28515625" customWidth="1"/>
    <col min="9" max="9" width="11.85546875" bestFit="1" customWidth="1"/>
    <col min="10" max="10" width="11.85546875" customWidth="1"/>
    <col min="11" max="11" width="11.5703125" customWidth="1"/>
    <col min="12" max="12" width="12.5703125" customWidth="1"/>
    <col min="13" max="13" width="11.5703125" customWidth="1"/>
    <col min="14" max="14" width="12" customWidth="1"/>
    <col min="15" max="15" width="12.42578125" customWidth="1"/>
    <col min="16" max="16" width="13" customWidth="1"/>
    <col min="17" max="17" width="13.5703125" customWidth="1"/>
    <col min="18" max="18" width="14.140625" customWidth="1"/>
    <col min="19" max="19" width="10.7109375" customWidth="1"/>
    <col min="20" max="20" width="9.42578125" customWidth="1"/>
    <col min="21" max="21" width="11.42578125" customWidth="1"/>
    <col min="22" max="22" width="16.85546875" customWidth="1"/>
  </cols>
  <sheetData>
    <row r="1" spans="2:22" x14ac:dyDescent="0.25">
      <c r="L1" s="60"/>
      <c r="M1" s="60"/>
      <c r="N1" s="60"/>
      <c r="R1" s="60" t="s">
        <v>1</v>
      </c>
      <c r="S1" s="60"/>
      <c r="T1" s="60"/>
    </row>
    <row r="2" spans="2:22" ht="53.25" customHeight="1" x14ac:dyDescent="0.25">
      <c r="L2" s="60"/>
      <c r="M2" s="60"/>
      <c r="N2" s="60"/>
      <c r="R2" s="60" t="s">
        <v>2</v>
      </c>
      <c r="S2" s="60"/>
      <c r="T2" s="60"/>
    </row>
    <row r="3" spans="2:22" ht="54.75" customHeight="1" x14ac:dyDescent="0.25">
      <c r="B3" s="31"/>
      <c r="C3" s="64" t="s">
        <v>0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5"/>
      <c r="O3" s="65"/>
      <c r="P3" s="65"/>
      <c r="Q3" s="65"/>
      <c r="R3" s="65"/>
      <c r="S3" s="65"/>
      <c r="T3" s="65"/>
      <c r="U3" s="31"/>
    </row>
    <row r="4" spans="2:22" x14ac:dyDescent="0.25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2:22" ht="105.75" customHeight="1" x14ac:dyDescent="0.25">
      <c r="B5" s="32" t="s">
        <v>3</v>
      </c>
      <c r="C5" s="33" t="s">
        <v>6</v>
      </c>
      <c r="D5" s="33" t="s">
        <v>4</v>
      </c>
      <c r="E5" s="61" t="s">
        <v>5</v>
      </c>
      <c r="F5" s="62"/>
      <c r="G5" s="62"/>
      <c r="H5" s="63"/>
      <c r="I5" s="61" t="s">
        <v>7</v>
      </c>
      <c r="J5" s="62"/>
      <c r="K5" s="62"/>
      <c r="L5" s="62"/>
      <c r="M5" s="62"/>
      <c r="N5" s="62"/>
      <c r="O5" s="62"/>
      <c r="P5" s="62"/>
      <c r="Q5" s="62"/>
      <c r="R5" s="62"/>
      <c r="S5" s="62"/>
      <c r="T5" s="66"/>
      <c r="U5" s="67"/>
    </row>
    <row r="6" spans="2:22" ht="33.75" customHeight="1" x14ac:dyDescent="0.25">
      <c r="B6" s="34"/>
      <c r="C6" s="34"/>
      <c r="D6" s="34"/>
      <c r="E6" s="32" t="s">
        <v>8</v>
      </c>
      <c r="F6" s="32" t="s">
        <v>9</v>
      </c>
      <c r="G6" s="32" t="s">
        <v>10</v>
      </c>
      <c r="H6" s="32" t="s">
        <v>11</v>
      </c>
      <c r="I6" s="32">
        <v>2014</v>
      </c>
      <c r="J6" s="32">
        <v>2015</v>
      </c>
      <c r="K6" s="32">
        <v>2016</v>
      </c>
      <c r="L6" s="32">
        <v>2017</v>
      </c>
      <c r="M6" s="32">
        <v>2018</v>
      </c>
      <c r="N6" s="32">
        <v>2019</v>
      </c>
      <c r="O6" s="32">
        <v>2020</v>
      </c>
      <c r="P6" s="32">
        <v>2021</v>
      </c>
      <c r="Q6" s="32">
        <v>2022</v>
      </c>
      <c r="R6" s="32">
        <v>2023</v>
      </c>
      <c r="S6" s="32">
        <v>2024</v>
      </c>
      <c r="T6" s="32">
        <v>2025</v>
      </c>
      <c r="U6" s="32">
        <v>2026</v>
      </c>
    </row>
    <row r="7" spans="2:22" ht="47.25" customHeight="1" x14ac:dyDescent="0.25">
      <c r="B7" s="33" t="s">
        <v>12</v>
      </c>
      <c r="C7" s="33" t="s">
        <v>13</v>
      </c>
      <c r="D7" s="35" t="s">
        <v>14</v>
      </c>
      <c r="E7" s="36" t="s">
        <v>35</v>
      </c>
      <c r="F7" s="36" t="s">
        <v>35</v>
      </c>
      <c r="G7" s="36" t="s">
        <v>35</v>
      </c>
      <c r="H7" s="36" t="s">
        <v>35</v>
      </c>
      <c r="I7" s="37">
        <f t="shared" ref="I7:U7" si="0">I8+I36+I55</f>
        <v>25895.249999999996</v>
      </c>
      <c r="J7" s="37">
        <f t="shared" si="0"/>
        <v>16496.639000000003</v>
      </c>
      <c r="K7" s="37">
        <f t="shared" si="0"/>
        <v>21064.098000000002</v>
      </c>
      <c r="L7" s="37">
        <f t="shared" si="0"/>
        <v>22239.128000000001</v>
      </c>
      <c r="M7" s="37">
        <f t="shared" si="0"/>
        <v>32054.262999999999</v>
      </c>
      <c r="N7" s="37">
        <f t="shared" si="0"/>
        <v>36462.409</v>
      </c>
      <c r="O7" s="37">
        <f t="shared" si="0"/>
        <v>35016.733</v>
      </c>
      <c r="P7" s="37">
        <f t="shared" si="0"/>
        <v>35629.771999999997</v>
      </c>
      <c r="Q7" s="37">
        <f t="shared" si="0"/>
        <v>36068.137999999999</v>
      </c>
      <c r="R7" s="37">
        <f t="shared" si="0"/>
        <v>60174.218000000008</v>
      </c>
      <c r="S7" s="37">
        <f t="shared" si="0"/>
        <v>59001.527499999997</v>
      </c>
      <c r="T7" s="37">
        <f t="shared" si="0"/>
        <v>40972.800000000003</v>
      </c>
      <c r="U7" s="37">
        <f t="shared" si="0"/>
        <v>41674.023999999998</v>
      </c>
      <c r="V7" s="1"/>
    </row>
    <row r="8" spans="2:22" ht="45" x14ac:dyDescent="0.25">
      <c r="B8" s="33" t="s">
        <v>15</v>
      </c>
      <c r="C8" s="33" t="s">
        <v>16</v>
      </c>
      <c r="D8" s="33" t="s">
        <v>31</v>
      </c>
      <c r="E8" s="36" t="s">
        <v>35</v>
      </c>
      <c r="F8" s="36" t="s">
        <v>35</v>
      </c>
      <c r="G8" s="36" t="s">
        <v>35</v>
      </c>
      <c r="H8" s="36" t="s">
        <v>35</v>
      </c>
      <c r="I8" s="37">
        <f>I9+I14+I19+I32+I33</f>
        <v>21246.805999999997</v>
      </c>
      <c r="J8" s="37">
        <f t="shared" ref="J8:Q8" si="1">J9+J14+J19+J32+J33</f>
        <v>8591.8780000000006</v>
      </c>
      <c r="K8" s="37">
        <f t="shared" si="1"/>
        <v>12755.178</v>
      </c>
      <c r="L8" s="37">
        <f t="shared" si="1"/>
        <v>12024.956</v>
      </c>
      <c r="M8" s="37">
        <f t="shared" si="1"/>
        <v>20364.751</v>
      </c>
      <c r="N8" s="37">
        <f t="shared" si="1"/>
        <v>20013.232</v>
      </c>
      <c r="O8" s="37">
        <f t="shared" si="1"/>
        <v>19200.423999999999</v>
      </c>
      <c r="P8" s="37">
        <f t="shared" si="1"/>
        <v>18222.718000000001</v>
      </c>
      <c r="Q8" s="37">
        <f t="shared" si="1"/>
        <v>17811.169999999998</v>
      </c>
      <c r="R8" s="37">
        <f>R9+R14+R19+R32+R33</f>
        <v>42897.852000000006</v>
      </c>
      <c r="S8" s="37">
        <f>S9+S14+S19+S32+S33</f>
        <v>41182.597499999996</v>
      </c>
      <c r="T8" s="37">
        <f t="shared" ref="T8:U8" si="2">T9+T14+T19+T32+T33</f>
        <v>27880.971000000001</v>
      </c>
      <c r="U8" s="37">
        <f t="shared" si="2"/>
        <v>28377.613000000001</v>
      </c>
    </row>
    <row r="9" spans="2:22" x14ac:dyDescent="0.25">
      <c r="B9" s="53"/>
      <c r="C9" s="53"/>
      <c r="D9" s="57"/>
      <c r="E9" s="38" t="s">
        <v>19</v>
      </c>
      <c r="F9" s="38" t="s">
        <v>70</v>
      </c>
      <c r="G9" s="38"/>
      <c r="H9" s="38" t="s">
        <v>73</v>
      </c>
      <c r="I9" s="37">
        <f>SUM(I10:I13)</f>
        <v>12604.274999999998</v>
      </c>
      <c r="J9" s="37">
        <f t="shared" ref="J9:U9" si="3">SUM(J10:J13)</f>
        <v>0</v>
      </c>
      <c r="K9" s="37">
        <f t="shared" si="3"/>
        <v>0</v>
      </c>
      <c r="L9" s="37">
        <f t="shared" si="3"/>
        <v>0</v>
      </c>
      <c r="M9" s="37">
        <f t="shared" si="3"/>
        <v>0</v>
      </c>
      <c r="N9" s="37">
        <f t="shared" si="3"/>
        <v>0</v>
      </c>
      <c r="O9" s="37">
        <f t="shared" si="3"/>
        <v>0</v>
      </c>
      <c r="P9" s="37">
        <f t="shared" si="3"/>
        <v>0</v>
      </c>
      <c r="Q9" s="37">
        <f t="shared" si="3"/>
        <v>0</v>
      </c>
      <c r="R9" s="37">
        <f t="shared" si="3"/>
        <v>0</v>
      </c>
      <c r="S9" s="37">
        <f t="shared" si="3"/>
        <v>0</v>
      </c>
      <c r="T9" s="37">
        <f t="shared" si="3"/>
        <v>0</v>
      </c>
      <c r="U9" s="37">
        <f t="shared" si="3"/>
        <v>0</v>
      </c>
    </row>
    <row r="10" spans="2:22" ht="39.75" customHeight="1" x14ac:dyDescent="0.25">
      <c r="B10" s="54"/>
      <c r="C10" s="54"/>
      <c r="D10" s="58"/>
      <c r="E10" s="36" t="s">
        <v>19</v>
      </c>
      <c r="F10" s="36" t="s">
        <v>70</v>
      </c>
      <c r="G10" s="36" t="s">
        <v>71</v>
      </c>
      <c r="H10" s="36" t="s">
        <v>22</v>
      </c>
      <c r="I10" s="39">
        <v>11556.424999999999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</row>
    <row r="11" spans="2:22" x14ac:dyDescent="0.25">
      <c r="B11" s="54"/>
      <c r="C11" s="54"/>
      <c r="D11" s="58"/>
      <c r="E11" s="36" t="s">
        <v>19</v>
      </c>
      <c r="F11" s="36" t="s">
        <v>70</v>
      </c>
      <c r="G11" s="36" t="s">
        <v>71</v>
      </c>
      <c r="H11" s="36" t="s">
        <v>23</v>
      </c>
      <c r="I11" s="39">
        <v>444.31799999999998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</row>
    <row r="12" spans="2:22" x14ac:dyDescent="0.25">
      <c r="B12" s="54"/>
      <c r="C12" s="54"/>
      <c r="D12" s="58"/>
      <c r="E12" s="36" t="s">
        <v>19</v>
      </c>
      <c r="F12" s="36" t="s">
        <v>70</v>
      </c>
      <c r="G12" s="36" t="s">
        <v>71</v>
      </c>
      <c r="H12" s="36" t="s">
        <v>24</v>
      </c>
      <c r="I12" s="39">
        <v>278.53199999999998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</row>
    <row r="13" spans="2:22" x14ac:dyDescent="0.25">
      <c r="B13" s="55"/>
      <c r="C13" s="55"/>
      <c r="D13" s="59"/>
      <c r="E13" s="36" t="s">
        <v>19</v>
      </c>
      <c r="F13" s="36" t="s">
        <v>70</v>
      </c>
      <c r="G13" s="36" t="s">
        <v>72</v>
      </c>
      <c r="H13" s="36" t="s">
        <v>23</v>
      </c>
      <c r="I13" s="39">
        <v>325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</row>
    <row r="14" spans="2:22" x14ac:dyDescent="0.25">
      <c r="B14" s="57"/>
      <c r="C14" s="57"/>
      <c r="D14" s="57"/>
      <c r="E14" s="38" t="s">
        <v>19</v>
      </c>
      <c r="F14" s="38" t="s">
        <v>20</v>
      </c>
      <c r="G14" s="38"/>
      <c r="H14" s="38" t="s">
        <v>73</v>
      </c>
      <c r="I14" s="37">
        <f>SUM(I15:I18)</f>
        <v>8642.530999999999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</row>
    <row r="15" spans="2:22" x14ac:dyDescent="0.25">
      <c r="B15" s="58"/>
      <c r="C15" s="58"/>
      <c r="D15" s="58"/>
      <c r="E15" s="36" t="s">
        <v>19</v>
      </c>
      <c r="F15" s="36" t="s">
        <v>20</v>
      </c>
      <c r="G15" s="36" t="s">
        <v>71</v>
      </c>
      <c r="H15" s="36" t="s">
        <v>22</v>
      </c>
      <c r="I15" s="39">
        <v>5951.9480000000003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</row>
    <row r="16" spans="2:22" x14ac:dyDescent="0.25">
      <c r="B16" s="58"/>
      <c r="C16" s="58"/>
      <c r="D16" s="58"/>
      <c r="E16" s="36" t="s">
        <v>19</v>
      </c>
      <c r="F16" s="36" t="s">
        <v>20</v>
      </c>
      <c r="G16" s="36" t="s">
        <v>71</v>
      </c>
      <c r="H16" s="36" t="s">
        <v>23</v>
      </c>
      <c r="I16" s="39">
        <v>2306.3719999999998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</row>
    <row r="17" spans="2:21" x14ac:dyDescent="0.25">
      <c r="B17" s="58"/>
      <c r="C17" s="58"/>
      <c r="D17" s="58"/>
      <c r="E17" s="36" t="s">
        <v>19</v>
      </c>
      <c r="F17" s="36" t="s">
        <v>20</v>
      </c>
      <c r="G17" s="36" t="s">
        <v>71</v>
      </c>
      <c r="H17" s="36" t="s">
        <v>24</v>
      </c>
      <c r="I17" s="39">
        <v>304.21100000000001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</row>
    <row r="18" spans="2:21" x14ac:dyDescent="0.25">
      <c r="B18" s="59"/>
      <c r="C18" s="59"/>
      <c r="D18" s="59"/>
      <c r="E18" s="36" t="s">
        <v>19</v>
      </c>
      <c r="F18" s="36" t="s">
        <v>20</v>
      </c>
      <c r="G18" s="36" t="s">
        <v>74</v>
      </c>
      <c r="H18" s="38" t="s">
        <v>23</v>
      </c>
      <c r="I18" s="39">
        <v>80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</row>
    <row r="19" spans="2:21" ht="56.25" customHeight="1" x14ac:dyDescent="0.25">
      <c r="B19" s="56" t="s">
        <v>17</v>
      </c>
      <c r="C19" s="56" t="s">
        <v>18</v>
      </c>
      <c r="D19" s="56" t="s">
        <v>31</v>
      </c>
      <c r="E19" s="36" t="s">
        <v>35</v>
      </c>
      <c r="F19" s="36" t="s">
        <v>35</v>
      </c>
      <c r="G19" s="36" t="s">
        <v>35</v>
      </c>
      <c r="H19" s="38" t="s">
        <v>73</v>
      </c>
      <c r="I19" s="37">
        <f>I20+I21+I22+I27+I28+I29+I30+I31</f>
        <v>0</v>
      </c>
      <c r="J19" s="37">
        <f t="shared" ref="J19:U19" si="4">J20+J21+J22+J27+J28+J29+J30+J31</f>
        <v>8591.8780000000006</v>
      </c>
      <c r="K19" s="37">
        <f t="shared" si="4"/>
        <v>12755.178</v>
      </c>
      <c r="L19" s="37">
        <f t="shared" si="4"/>
        <v>12024.956</v>
      </c>
      <c r="M19" s="37">
        <f t="shared" si="4"/>
        <v>20364.751</v>
      </c>
      <c r="N19" s="37">
        <f t="shared" si="4"/>
        <v>20013.232</v>
      </c>
      <c r="O19" s="37">
        <f t="shared" si="4"/>
        <v>19200.423999999999</v>
      </c>
      <c r="P19" s="37">
        <f t="shared" si="4"/>
        <v>18222.718000000001</v>
      </c>
      <c r="Q19" s="37">
        <f t="shared" si="4"/>
        <v>17811.169999999998</v>
      </c>
      <c r="R19" s="37">
        <f t="shared" si="4"/>
        <v>42743.245000000003</v>
      </c>
      <c r="S19" s="37">
        <f t="shared" si="4"/>
        <v>41027.989499999996</v>
      </c>
      <c r="T19" s="37">
        <f t="shared" si="4"/>
        <v>27880.971000000001</v>
      </c>
      <c r="U19" s="37">
        <f t="shared" si="4"/>
        <v>28377.613000000001</v>
      </c>
    </row>
    <row r="20" spans="2:21" x14ac:dyDescent="0.25">
      <c r="B20" s="56"/>
      <c r="C20" s="56"/>
      <c r="D20" s="56"/>
      <c r="E20" s="42" t="s">
        <v>84</v>
      </c>
      <c r="F20" s="36" t="s">
        <v>20</v>
      </c>
      <c r="G20" s="36" t="s">
        <v>61</v>
      </c>
      <c r="H20" s="36" t="s">
        <v>22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39"/>
      <c r="O20" s="39"/>
      <c r="P20" s="39"/>
      <c r="Q20" s="39"/>
      <c r="R20" s="39">
        <f>5354.765+1617.14</f>
        <v>6971.9050000000007</v>
      </c>
      <c r="S20" s="43">
        <v>3650.232</v>
      </c>
      <c r="T20" s="45"/>
      <c r="U20" s="34"/>
    </row>
    <row r="21" spans="2:21" x14ac:dyDescent="0.25">
      <c r="B21" s="56"/>
      <c r="C21" s="56"/>
      <c r="D21" s="56"/>
      <c r="E21" s="42" t="s">
        <v>84</v>
      </c>
      <c r="F21" s="36" t="s">
        <v>20</v>
      </c>
      <c r="G21" s="36" t="s">
        <v>62</v>
      </c>
      <c r="H21" s="36" t="s">
        <v>22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39"/>
      <c r="O21" s="39"/>
      <c r="P21" s="39"/>
      <c r="Q21" s="39"/>
      <c r="R21" s="39">
        <v>12906.654</v>
      </c>
      <c r="S21" s="43">
        <v>17454.647000000001</v>
      </c>
      <c r="T21" s="39">
        <f>8274.947+10+2499.034</f>
        <v>10783.981</v>
      </c>
      <c r="U21" s="45">
        <f>8440.983+10+2549.177</f>
        <v>11000.16</v>
      </c>
    </row>
    <row r="22" spans="2:21" x14ac:dyDescent="0.25">
      <c r="B22" s="56"/>
      <c r="C22" s="56"/>
      <c r="D22" s="56"/>
      <c r="E22" s="42" t="s">
        <v>84</v>
      </c>
      <c r="F22" s="42" t="s">
        <v>20</v>
      </c>
      <c r="G22" s="42" t="s">
        <v>21</v>
      </c>
      <c r="H22" s="38" t="s">
        <v>73</v>
      </c>
      <c r="I22" s="40">
        <f>SUM(I23:I26)</f>
        <v>0</v>
      </c>
      <c r="J22" s="39">
        <f t="shared" ref="J22:U22" si="5">SUM(J23:J26)</f>
        <v>8211.8780000000006</v>
      </c>
      <c r="K22" s="39">
        <f t="shared" si="5"/>
        <v>10719.389000000001</v>
      </c>
      <c r="L22" s="39">
        <f t="shared" si="5"/>
        <v>12024.956</v>
      </c>
      <c r="M22" s="39">
        <f t="shared" si="5"/>
        <v>20364.751</v>
      </c>
      <c r="N22" s="39">
        <f t="shared" si="5"/>
        <v>18642.232</v>
      </c>
      <c r="O22" s="39">
        <f t="shared" si="5"/>
        <v>18675.423999999999</v>
      </c>
      <c r="P22" s="39">
        <f t="shared" si="5"/>
        <v>18222.718000000001</v>
      </c>
      <c r="Q22" s="39">
        <f t="shared" si="5"/>
        <v>17811.169999999998</v>
      </c>
      <c r="R22" s="39">
        <f t="shared" si="5"/>
        <v>22010.686000000002</v>
      </c>
      <c r="S22" s="39">
        <f t="shared" si="5"/>
        <v>19398.110499999999</v>
      </c>
      <c r="T22" s="39">
        <f t="shared" si="5"/>
        <v>17096.990000000002</v>
      </c>
      <c r="U22" s="39">
        <f t="shared" si="5"/>
        <v>17377.453000000001</v>
      </c>
    </row>
    <row r="23" spans="2:21" s="6" customFormat="1" x14ac:dyDescent="0.25">
      <c r="B23" s="56"/>
      <c r="C23" s="56"/>
      <c r="D23" s="56"/>
      <c r="E23" s="42" t="s">
        <v>84</v>
      </c>
      <c r="F23" s="42" t="s">
        <v>20</v>
      </c>
      <c r="G23" s="42" t="s">
        <v>21</v>
      </c>
      <c r="H23" s="42" t="s">
        <v>22</v>
      </c>
      <c r="I23" s="40">
        <v>0</v>
      </c>
      <c r="J23" s="43">
        <v>5380.0640000000003</v>
      </c>
      <c r="K23" s="43">
        <v>8046.3680000000004</v>
      </c>
      <c r="L23" s="43">
        <v>8266.3179999999993</v>
      </c>
      <c r="M23" s="43">
        <v>10032.669</v>
      </c>
      <c r="N23" s="43">
        <v>11575.21</v>
      </c>
      <c r="O23" s="43">
        <v>11821.861000000001</v>
      </c>
      <c r="P23" s="43">
        <v>13523.6</v>
      </c>
      <c r="Q23" s="43">
        <f>7740.269+2300.908+3411+1018.002</f>
        <v>14470.179</v>
      </c>
      <c r="R23" s="43">
        <v>15983.413</v>
      </c>
      <c r="S23" s="43">
        <v>12482.352999999999</v>
      </c>
      <c r="T23" s="43">
        <v>13990.79</v>
      </c>
      <c r="U23" s="44">
        <v>14271.253000000001</v>
      </c>
    </row>
    <row r="24" spans="2:21" x14ac:dyDescent="0.25">
      <c r="B24" s="56"/>
      <c r="C24" s="56"/>
      <c r="D24" s="56"/>
      <c r="E24" s="42" t="s">
        <v>84</v>
      </c>
      <c r="F24" s="36" t="s">
        <v>20</v>
      </c>
      <c r="G24" s="36" t="s">
        <v>21</v>
      </c>
      <c r="H24" s="36" t="s">
        <v>23</v>
      </c>
      <c r="I24" s="40">
        <v>0</v>
      </c>
      <c r="J24" s="39">
        <v>2722.8389999999999</v>
      </c>
      <c r="K24" s="39">
        <v>2514.3589999999999</v>
      </c>
      <c r="L24" s="39">
        <v>3592.93</v>
      </c>
      <c r="M24" s="39">
        <v>10274.931</v>
      </c>
      <c r="N24" s="39">
        <v>6929.616</v>
      </c>
      <c r="O24" s="39">
        <v>4625.3559999999998</v>
      </c>
      <c r="P24" s="39">
        <v>3304.3009999999999</v>
      </c>
      <c r="Q24" s="39">
        <v>2907.4569999999999</v>
      </c>
      <c r="R24" s="39">
        <v>5627.8429999999998</v>
      </c>
      <c r="S24" s="43">
        <f>6265.5575+401</f>
        <v>6666.5574999999999</v>
      </c>
      <c r="T24" s="39">
        <f>1641.4+1215.6</f>
        <v>2857</v>
      </c>
      <c r="U24" s="39">
        <f>1641.4+1215.6</f>
        <v>2857</v>
      </c>
    </row>
    <row r="25" spans="2:21" x14ac:dyDescent="0.25">
      <c r="B25" s="56"/>
      <c r="C25" s="56"/>
      <c r="D25" s="56"/>
      <c r="E25" s="42" t="s">
        <v>84</v>
      </c>
      <c r="F25" s="36" t="s">
        <v>20</v>
      </c>
      <c r="G25" s="36" t="s">
        <v>21</v>
      </c>
      <c r="H25" s="36" t="s">
        <v>29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39">
        <v>72</v>
      </c>
      <c r="O25" s="39">
        <v>1819.855</v>
      </c>
      <c r="P25" s="39">
        <v>991.01700000000005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</row>
    <row r="26" spans="2:21" x14ac:dyDescent="0.25">
      <c r="B26" s="56"/>
      <c r="C26" s="56"/>
      <c r="D26" s="56"/>
      <c r="E26" s="42" t="s">
        <v>84</v>
      </c>
      <c r="F26" s="36" t="s">
        <v>20</v>
      </c>
      <c r="G26" s="36" t="s">
        <v>21</v>
      </c>
      <c r="H26" s="36" t="s">
        <v>24</v>
      </c>
      <c r="I26" s="40">
        <v>0</v>
      </c>
      <c r="J26" s="39">
        <v>108.97499999999999</v>
      </c>
      <c r="K26" s="39">
        <v>158.66200000000001</v>
      </c>
      <c r="L26" s="39">
        <v>165.708</v>
      </c>
      <c r="M26" s="39">
        <v>57.151000000000003</v>
      </c>
      <c r="N26" s="39">
        <v>65.406000000000006</v>
      </c>
      <c r="O26" s="39">
        <v>408.35199999999998</v>
      </c>
      <c r="P26" s="39">
        <v>403.8</v>
      </c>
      <c r="Q26" s="39">
        <f>411.256+2.51+9.578+10.19</f>
        <v>433.53399999999993</v>
      </c>
      <c r="R26" s="39">
        <f>379.143+20.287</f>
        <v>399.42999999999995</v>
      </c>
      <c r="S26" s="43">
        <v>249.2</v>
      </c>
      <c r="T26" s="39">
        <v>249.2</v>
      </c>
      <c r="U26" s="45">
        <v>249.2</v>
      </c>
    </row>
    <row r="27" spans="2:21" x14ac:dyDescent="0.25">
      <c r="B27" s="56"/>
      <c r="C27" s="56"/>
      <c r="D27" s="56"/>
      <c r="E27" s="42" t="s">
        <v>84</v>
      </c>
      <c r="F27" s="36" t="s">
        <v>20</v>
      </c>
      <c r="G27" s="36" t="s">
        <v>25</v>
      </c>
      <c r="H27" s="36" t="s">
        <v>23</v>
      </c>
      <c r="I27" s="40">
        <v>0</v>
      </c>
      <c r="J27" s="39">
        <v>30</v>
      </c>
      <c r="K27" s="39">
        <v>50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</row>
    <row r="28" spans="2:21" x14ac:dyDescent="0.25">
      <c r="B28" s="56"/>
      <c r="C28" s="56"/>
      <c r="D28" s="56"/>
      <c r="E28" s="42" t="s">
        <v>84</v>
      </c>
      <c r="F28" s="36" t="s">
        <v>20</v>
      </c>
      <c r="G28" s="36" t="s">
        <v>26</v>
      </c>
      <c r="H28" s="36" t="s">
        <v>23</v>
      </c>
      <c r="I28" s="40">
        <v>0</v>
      </c>
      <c r="J28" s="39">
        <v>350</v>
      </c>
      <c r="K28" s="39">
        <v>750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</row>
    <row r="29" spans="2:21" x14ac:dyDescent="0.25">
      <c r="B29" s="56"/>
      <c r="C29" s="56"/>
      <c r="D29" s="56"/>
      <c r="E29" s="42" t="s">
        <v>84</v>
      </c>
      <c r="F29" s="36" t="s">
        <v>20</v>
      </c>
      <c r="G29" s="36" t="s">
        <v>27</v>
      </c>
      <c r="H29" s="36" t="s">
        <v>23</v>
      </c>
      <c r="I29" s="40">
        <v>0</v>
      </c>
      <c r="J29" s="40">
        <v>0</v>
      </c>
      <c r="K29" s="39">
        <v>1183.7570000000001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</row>
    <row r="30" spans="2:21" x14ac:dyDescent="0.25">
      <c r="B30" s="56"/>
      <c r="C30" s="56"/>
      <c r="D30" s="56"/>
      <c r="E30" s="42" t="s">
        <v>84</v>
      </c>
      <c r="F30" s="36" t="s">
        <v>20</v>
      </c>
      <c r="G30" s="36" t="s">
        <v>28</v>
      </c>
      <c r="H30" s="36" t="s">
        <v>23</v>
      </c>
      <c r="I30" s="40">
        <v>0</v>
      </c>
      <c r="J30" s="40">
        <v>0</v>
      </c>
      <c r="K30" s="39">
        <v>52.031999999999996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</row>
    <row r="31" spans="2:21" x14ac:dyDescent="0.25">
      <c r="B31" s="56"/>
      <c r="C31" s="56"/>
      <c r="D31" s="56"/>
      <c r="E31" s="42" t="s">
        <v>84</v>
      </c>
      <c r="F31" s="36" t="s">
        <v>20</v>
      </c>
      <c r="G31" s="36" t="s">
        <v>30</v>
      </c>
      <c r="H31" s="36" t="s">
        <v>23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39">
        <v>1371</v>
      </c>
      <c r="O31" s="39">
        <v>525</v>
      </c>
      <c r="P31" s="40">
        <v>0</v>
      </c>
      <c r="Q31" s="40">
        <v>0</v>
      </c>
      <c r="R31" s="39">
        <v>854</v>
      </c>
      <c r="S31" s="39">
        <v>525</v>
      </c>
      <c r="T31" s="40">
        <v>0</v>
      </c>
      <c r="U31" s="40">
        <v>0</v>
      </c>
    </row>
    <row r="32" spans="2:21" ht="45" x14ac:dyDescent="0.25">
      <c r="B32" s="33" t="s">
        <v>80</v>
      </c>
      <c r="C32" s="33" t="s">
        <v>81</v>
      </c>
      <c r="D32" s="33" t="s">
        <v>31</v>
      </c>
      <c r="E32" s="36" t="s">
        <v>35</v>
      </c>
      <c r="F32" s="36" t="s">
        <v>35</v>
      </c>
      <c r="G32" s="36" t="s">
        <v>35</v>
      </c>
      <c r="H32" s="36" t="s">
        <v>35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</row>
    <row r="33" spans="2:22" ht="33.75" customHeight="1" x14ac:dyDescent="0.25">
      <c r="B33" s="53" t="s">
        <v>82</v>
      </c>
      <c r="C33" s="53" t="s">
        <v>83</v>
      </c>
      <c r="D33" s="53" t="s">
        <v>31</v>
      </c>
      <c r="E33" s="36" t="s">
        <v>35</v>
      </c>
      <c r="F33" s="36" t="s">
        <v>35</v>
      </c>
      <c r="G33" s="36" t="s">
        <v>35</v>
      </c>
      <c r="H33" s="38" t="s">
        <v>73</v>
      </c>
      <c r="I33" s="40">
        <f>SUM(I34:I35)</f>
        <v>0</v>
      </c>
      <c r="J33" s="40">
        <f t="shared" ref="J33:U33" si="6">SUM(J34:J35)</f>
        <v>0</v>
      </c>
      <c r="K33" s="40">
        <f t="shared" si="6"/>
        <v>0</v>
      </c>
      <c r="L33" s="40">
        <f t="shared" si="6"/>
        <v>0</v>
      </c>
      <c r="M33" s="40">
        <f t="shared" si="6"/>
        <v>0</v>
      </c>
      <c r="N33" s="40">
        <f t="shared" si="6"/>
        <v>0</v>
      </c>
      <c r="O33" s="40">
        <f t="shared" si="6"/>
        <v>0</v>
      </c>
      <c r="P33" s="40">
        <f t="shared" si="6"/>
        <v>0</v>
      </c>
      <c r="Q33" s="40">
        <f t="shared" si="6"/>
        <v>0</v>
      </c>
      <c r="R33" s="39">
        <f t="shared" si="6"/>
        <v>154.607</v>
      </c>
      <c r="S33" s="39">
        <f t="shared" si="6"/>
        <v>154.608</v>
      </c>
      <c r="T33" s="40">
        <f t="shared" si="6"/>
        <v>0</v>
      </c>
      <c r="U33" s="40">
        <f t="shared" si="6"/>
        <v>0</v>
      </c>
    </row>
    <row r="34" spans="2:22" x14ac:dyDescent="0.25">
      <c r="B34" s="54"/>
      <c r="C34" s="54"/>
      <c r="D34" s="54"/>
      <c r="E34" s="42" t="s">
        <v>84</v>
      </c>
      <c r="F34" s="36" t="s">
        <v>20</v>
      </c>
      <c r="G34" s="36" t="s">
        <v>63</v>
      </c>
      <c r="H34" s="36" t="s">
        <v>53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6">
        <v>51.534999999999997</v>
      </c>
      <c r="S34" s="46">
        <v>51.536000000000001</v>
      </c>
      <c r="T34" s="40">
        <v>0</v>
      </c>
      <c r="U34" s="40">
        <v>0</v>
      </c>
    </row>
    <row r="35" spans="2:22" x14ac:dyDescent="0.25">
      <c r="B35" s="55"/>
      <c r="C35" s="55"/>
      <c r="D35" s="55"/>
      <c r="E35" s="42" t="s">
        <v>84</v>
      </c>
      <c r="F35" s="36" t="s">
        <v>20</v>
      </c>
      <c r="G35" s="36" t="s">
        <v>65</v>
      </c>
      <c r="H35" s="36" t="s">
        <v>23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39">
        <v>103.072</v>
      </c>
      <c r="S35" s="39">
        <v>103.072</v>
      </c>
      <c r="T35" s="40">
        <v>0</v>
      </c>
      <c r="U35" s="40">
        <v>0</v>
      </c>
      <c r="V35" s="3"/>
    </row>
    <row r="36" spans="2:22" ht="45" x14ac:dyDescent="0.25">
      <c r="B36" s="33" t="s">
        <v>32</v>
      </c>
      <c r="C36" s="33" t="s">
        <v>42</v>
      </c>
      <c r="D36" s="33" t="s">
        <v>31</v>
      </c>
      <c r="E36" s="36" t="s">
        <v>35</v>
      </c>
      <c r="F36" s="36" t="s">
        <v>35</v>
      </c>
      <c r="G36" s="36" t="s">
        <v>35</v>
      </c>
      <c r="H36" s="47" t="s">
        <v>35</v>
      </c>
      <c r="I36" s="48">
        <f>I41+I37+I51+I52</f>
        <v>2448.105</v>
      </c>
      <c r="J36" s="48">
        <f t="shared" ref="J36:U36" si="7">J41+J37+J51+J52</f>
        <v>5853.4850000000006</v>
      </c>
      <c r="K36" s="48">
        <f t="shared" si="7"/>
        <v>5831.3420000000006</v>
      </c>
      <c r="L36" s="48">
        <f t="shared" si="7"/>
        <v>7572.7960000000003</v>
      </c>
      <c r="M36" s="48">
        <f t="shared" si="7"/>
        <v>8768.5779999999995</v>
      </c>
      <c r="N36" s="48">
        <f t="shared" si="7"/>
        <v>10664.763000000001</v>
      </c>
      <c r="O36" s="48">
        <f t="shared" si="7"/>
        <v>9937.8049999999985</v>
      </c>
      <c r="P36" s="48">
        <f t="shared" si="7"/>
        <v>11337.619000000001</v>
      </c>
      <c r="Q36" s="48">
        <f t="shared" si="7"/>
        <v>11925.147999999999</v>
      </c>
      <c r="R36" s="48">
        <f t="shared" si="7"/>
        <v>15157.255999999999</v>
      </c>
      <c r="S36" s="48">
        <f t="shared" si="7"/>
        <v>15776.415000000001</v>
      </c>
      <c r="T36" s="48">
        <f t="shared" si="7"/>
        <v>11049.313999999998</v>
      </c>
      <c r="U36" s="48">
        <f t="shared" si="7"/>
        <v>11253.895999999999</v>
      </c>
    </row>
    <row r="37" spans="2:22" x14ac:dyDescent="0.25">
      <c r="B37" s="57"/>
      <c r="C37" s="57"/>
      <c r="D37" s="57"/>
      <c r="E37" s="38" t="s">
        <v>19</v>
      </c>
      <c r="F37" s="38" t="s">
        <v>20</v>
      </c>
      <c r="G37" s="38"/>
      <c r="H37" s="38" t="s">
        <v>73</v>
      </c>
      <c r="I37" s="37">
        <f>SUM(I38:I40)</f>
        <v>2448.105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</row>
    <row r="38" spans="2:22" x14ac:dyDescent="0.25">
      <c r="B38" s="58"/>
      <c r="C38" s="58"/>
      <c r="D38" s="58"/>
      <c r="E38" s="36" t="s">
        <v>19</v>
      </c>
      <c r="F38" s="36" t="s">
        <v>20</v>
      </c>
      <c r="G38" s="36" t="s">
        <v>75</v>
      </c>
      <c r="H38" s="36" t="s">
        <v>22</v>
      </c>
      <c r="I38" s="39">
        <v>2261.0360000000001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</row>
    <row r="39" spans="2:22" x14ac:dyDescent="0.25">
      <c r="B39" s="58"/>
      <c r="C39" s="58"/>
      <c r="D39" s="58"/>
      <c r="E39" s="36" t="s">
        <v>19</v>
      </c>
      <c r="F39" s="36" t="s">
        <v>20</v>
      </c>
      <c r="G39" s="36" t="s">
        <v>75</v>
      </c>
      <c r="H39" s="36" t="s">
        <v>23</v>
      </c>
      <c r="I39" s="39">
        <v>144.70099999999999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</row>
    <row r="40" spans="2:22" x14ac:dyDescent="0.25">
      <c r="B40" s="58"/>
      <c r="C40" s="58"/>
      <c r="D40" s="58"/>
      <c r="E40" s="36" t="s">
        <v>19</v>
      </c>
      <c r="F40" s="36" t="s">
        <v>20</v>
      </c>
      <c r="G40" s="36" t="s">
        <v>75</v>
      </c>
      <c r="H40" s="36" t="s">
        <v>24</v>
      </c>
      <c r="I40" s="39">
        <v>42.368000000000002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</row>
    <row r="41" spans="2:22" ht="30" customHeight="1" x14ac:dyDescent="0.25">
      <c r="B41" s="56" t="s">
        <v>41</v>
      </c>
      <c r="C41" s="56" t="s">
        <v>33</v>
      </c>
      <c r="D41" s="56" t="s">
        <v>31</v>
      </c>
      <c r="E41" s="36" t="s">
        <v>35</v>
      </c>
      <c r="F41" s="36" t="s">
        <v>35</v>
      </c>
      <c r="G41" s="36" t="s">
        <v>35</v>
      </c>
      <c r="H41" s="38" t="s">
        <v>73</v>
      </c>
      <c r="I41" s="37">
        <f>I42+I43+I44+I50</f>
        <v>0</v>
      </c>
      <c r="J41" s="37">
        <f t="shared" ref="J41:U41" si="8">J42+J43+J44+J50</f>
        <v>5853.4850000000006</v>
      </c>
      <c r="K41" s="37">
        <f t="shared" si="8"/>
        <v>5831.3420000000006</v>
      </c>
      <c r="L41" s="37">
        <f t="shared" si="8"/>
        <v>7572.7960000000003</v>
      </c>
      <c r="M41" s="37">
        <f t="shared" si="8"/>
        <v>8768.5779999999995</v>
      </c>
      <c r="N41" s="37">
        <f t="shared" si="8"/>
        <v>10664.763000000001</v>
      </c>
      <c r="O41" s="37">
        <f t="shared" si="8"/>
        <v>9937.8049999999985</v>
      </c>
      <c r="P41" s="37">
        <f t="shared" si="8"/>
        <v>11337.619000000001</v>
      </c>
      <c r="Q41" s="37">
        <f t="shared" si="8"/>
        <v>11925.147999999999</v>
      </c>
      <c r="R41" s="37">
        <f t="shared" si="8"/>
        <v>15002.648999999999</v>
      </c>
      <c r="S41" s="37">
        <f t="shared" si="8"/>
        <v>15776.415000000001</v>
      </c>
      <c r="T41" s="37">
        <f t="shared" si="8"/>
        <v>11049.313999999998</v>
      </c>
      <c r="U41" s="37">
        <f t="shared" si="8"/>
        <v>11253.895999999999</v>
      </c>
    </row>
    <row r="42" spans="2:22" x14ac:dyDescent="0.25">
      <c r="B42" s="56"/>
      <c r="C42" s="56"/>
      <c r="D42" s="56"/>
      <c r="E42" s="42" t="s">
        <v>84</v>
      </c>
      <c r="F42" s="36" t="s">
        <v>20</v>
      </c>
      <c r="G42" s="36" t="s">
        <v>68</v>
      </c>
      <c r="H42" s="36" t="s">
        <v>22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39">
        <v>2009.3150000000001</v>
      </c>
      <c r="T42" s="40">
        <v>0</v>
      </c>
      <c r="U42" s="40">
        <v>0</v>
      </c>
    </row>
    <row r="43" spans="2:22" x14ac:dyDescent="0.25">
      <c r="B43" s="56"/>
      <c r="C43" s="56"/>
      <c r="D43" s="56"/>
      <c r="E43" s="42" t="s">
        <v>84</v>
      </c>
      <c r="F43" s="36" t="s">
        <v>20</v>
      </c>
      <c r="G43" s="36" t="s">
        <v>69</v>
      </c>
      <c r="H43" s="36" t="s">
        <v>22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39">
        <v>9605.2199999999993</v>
      </c>
      <c r="T43" s="40">
        <v>0</v>
      </c>
      <c r="U43" s="40">
        <v>0</v>
      </c>
    </row>
    <row r="44" spans="2:22" x14ac:dyDescent="0.25">
      <c r="B44" s="56"/>
      <c r="C44" s="56"/>
      <c r="D44" s="56"/>
      <c r="E44" s="42" t="s">
        <v>84</v>
      </c>
      <c r="F44" s="36" t="s">
        <v>20</v>
      </c>
      <c r="G44" s="36" t="s">
        <v>34</v>
      </c>
      <c r="H44" s="38" t="s">
        <v>73</v>
      </c>
      <c r="I44" s="40">
        <f>SUM(I45:I48)</f>
        <v>0</v>
      </c>
      <c r="J44" s="39">
        <f t="shared" ref="J44:U44" si="9">SUM(J45:J48)</f>
        <v>5853.4850000000006</v>
      </c>
      <c r="K44" s="39">
        <f t="shared" si="9"/>
        <v>5831.3420000000006</v>
      </c>
      <c r="L44" s="39">
        <f t="shared" si="9"/>
        <v>7572.7960000000003</v>
      </c>
      <c r="M44" s="39">
        <f t="shared" si="9"/>
        <v>8768.5779999999995</v>
      </c>
      <c r="N44" s="39">
        <f t="shared" si="9"/>
        <v>10664.763000000001</v>
      </c>
      <c r="O44" s="39">
        <f t="shared" si="9"/>
        <v>9937.8049999999985</v>
      </c>
      <c r="P44" s="39">
        <f t="shared" si="9"/>
        <v>11337.619000000001</v>
      </c>
      <c r="Q44" s="39">
        <f t="shared" si="9"/>
        <v>11925.147999999999</v>
      </c>
      <c r="R44" s="39">
        <f t="shared" si="9"/>
        <v>15002.648999999999</v>
      </c>
      <c r="S44" s="39">
        <f t="shared" si="9"/>
        <v>4161.88</v>
      </c>
      <c r="T44" s="39">
        <f t="shared" si="9"/>
        <v>11049.313999999998</v>
      </c>
      <c r="U44" s="39">
        <f t="shared" si="9"/>
        <v>11253.895999999999</v>
      </c>
    </row>
    <row r="45" spans="2:22" x14ac:dyDescent="0.25">
      <c r="B45" s="56"/>
      <c r="C45" s="56"/>
      <c r="D45" s="56"/>
      <c r="E45" s="42" t="s">
        <v>84</v>
      </c>
      <c r="F45" s="36" t="s">
        <v>20</v>
      </c>
      <c r="G45" s="36" t="s">
        <v>34</v>
      </c>
      <c r="H45" s="36" t="s">
        <v>22</v>
      </c>
      <c r="I45" s="40">
        <v>0</v>
      </c>
      <c r="J45" s="39">
        <v>2180.482</v>
      </c>
      <c r="K45" s="39">
        <v>2353.953</v>
      </c>
      <c r="L45" s="39">
        <v>3109.826</v>
      </c>
      <c r="M45" s="39">
        <v>8305.0439999999999</v>
      </c>
      <c r="N45" s="39">
        <v>9151.6610000000001</v>
      </c>
      <c r="O45" s="39">
        <v>9450.2739999999994</v>
      </c>
      <c r="P45" s="39">
        <v>9981</v>
      </c>
      <c r="Q45" s="39">
        <f>8698.067+2651.554</f>
        <v>11349.620999999999</v>
      </c>
      <c r="R45" s="49">
        <v>13878.648999999999</v>
      </c>
      <c r="S45" s="39">
        <v>2726.78</v>
      </c>
      <c r="T45" s="45">
        <f>7807.614+40+2357.9</f>
        <v>10205.513999999999</v>
      </c>
      <c r="U45" s="45">
        <f>7964.744+40+2405.352</f>
        <v>10410.096</v>
      </c>
    </row>
    <row r="46" spans="2:22" x14ac:dyDescent="0.25">
      <c r="B46" s="56"/>
      <c r="C46" s="56"/>
      <c r="D46" s="56"/>
      <c r="E46" s="42" t="s">
        <v>84</v>
      </c>
      <c r="F46" s="36" t="s">
        <v>20</v>
      </c>
      <c r="G46" s="36" t="s">
        <v>34</v>
      </c>
      <c r="H46" s="36" t="s">
        <v>23</v>
      </c>
      <c r="I46" s="40">
        <v>0</v>
      </c>
      <c r="J46" s="39">
        <v>233.59399999999999</v>
      </c>
      <c r="K46" s="39">
        <v>164.02500000000001</v>
      </c>
      <c r="L46" s="39">
        <v>268.971</v>
      </c>
      <c r="M46" s="39">
        <v>460.94799999999998</v>
      </c>
      <c r="N46" s="39">
        <v>1510.673</v>
      </c>
      <c r="O46" s="39">
        <v>485.31099999999998</v>
      </c>
      <c r="P46" s="39">
        <v>1333</v>
      </c>
      <c r="Q46" s="39">
        <f>381.06+160.267</f>
        <v>541.327</v>
      </c>
      <c r="R46" s="39">
        <v>1089.8</v>
      </c>
      <c r="S46" s="39">
        <v>1403.3</v>
      </c>
      <c r="T46" s="39">
        <v>812</v>
      </c>
      <c r="U46" s="39">
        <v>812</v>
      </c>
    </row>
    <row r="47" spans="2:22" x14ac:dyDescent="0.25">
      <c r="B47" s="56"/>
      <c r="C47" s="56"/>
      <c r="D47" s="56"/>
      <c r="E47" s="42" t="s">
        <v>84</v>
      </c>
      <c r="F47" s="36" t="s">
        <v>20</v>
      </c>
      <c r="G47" s="36" t="s">
        <v>34</v>
      </c>
      <c r="H47" s="36" t="s">
        <v>36</v>
      </c>
      <c r="I47" s="40">
        <v>0</v>
      </c>
      <c r="J47" s="39">
        <v>3422.4</v>
      </c>
      <c r="K47" s="39">
        <v>3278.1759999999999</v>
      </c>
      <c r="L47" s="39">
        <v>4160.7560000000003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</row>
    <row r="48" spans="2:22" ht="15" customHeight="1" x14ac:dyDescent="0.25">
      <c r="B48" s="56"/>
      <c r="C48" s="56"/>
      <c r="D48" s="56"/>
      <c r="E48" s="42" t="s">
        <v>84</v>
      </c>
      <c r="F48" s="36" t="s">
        <v>20</v>
      </c>
      <c r="G48" s="36" t="s">
        <v>34</v>
      </c>
      <c r="H48" s="36" t="s">
        <v>24</v>
      </c>
      <c r="I48" s="40">
        <v>0</v>
      </c>
      <c r="J48" s="39">
        <v>17.009</v>
      </c>
      <c r="K48" s="39">
        <v>35.188000000000002</v>
      </c>
      <c r="L48" s="39">
        <v>33.243000000000002</v>
      </c>
      <c r="M48" s="39">
        <v>2.5859999999999999</v>
      </c>
      <c r="N48" s="39">
        <v>2.4289999999999998</v>
      </c>
      <c r="O48" s="39">
        <v>2.2200000000000002</v>
      </c>
      <c r="P48" s="39">
        <v>23.619</v>
      </c>
      <c r="Q48" s="39">
        <v>34.200000000000003</v>
      </c>
      <c r="R48" s="39">
        <v>34.200000000000003</v>
      </c>
      <c r="S48" s="39">
        <v>31.8</v>
      </c>
      <c r="T48" s="39">
        <v>31.8</v>
      </c>
      <c r="U48" s="39">
        <v>31.8</v>
      </c>
    </row>
    <row r="49" spans="2:21" ht="15.75" hidden="1" customHeight="1" x14ac:dyDescent="0.25">
      <c r="B49" s="56"/>
      <c r="C49" s="56"/>
      <c r="D49" s="56"/>
      <c r="E49" s="42" t="s">
        <v>84</v>
      </c>
      <c r="F49" s="36"/>
      <c r="G49" s="36"/>
      <c r="H49" s="36"/>
      <c r="I49" s="40">
        <v>0</v>
      </c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4"/>
      <c r="U49" s="34"/>
    </row>
    <row r="50" spans="2:21" x14ac:dyDescent="0.25">
      <c r="B50" s="56"/>
      <c r="C50" s="56"/>
      <c r="D50" s="56"/>
      <c r="E50" s="42" t="s">
        <v>84</v>
      </c>
      <c r="F50" s="36" t="s">
        <v>20</v>
      </c>
      <c r="G50" s="36" t="s">
        <v>37</v>
      </c>
      <c r="H50" s="36" t="s">
        <v>23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</row>
    <row r="51" spans="2:21" ht="52.5" customHeight="1" x14ac:dyDescent="0.25">
      <c r="B51" s="33" t="s">
        <v>85</v>
      </c>
      <c r="C51" s="33" t="s">
        <v>87</v>
      </c>
      <c r="D51" s="33" t="s">
        <v>31</v>
      </c>
      <c r="E51" s="36" t="s">
        <v>35</v>
      </c>
      <c r="F51" s="36" t="s">
        <v>35</v>
      </c>
      <c r="G51" s="36" t="s">
        <v>35</v>
      </c>
      <c r="H51" s="36" t="s">
        <v>35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</row>
    <row r="52" spans="2:21" ht="33.75" customHeight="1" x14ac:dyDescent="0.25">
      <c r="B52" s="53" t="s">
        <v>86</v>
      </c>
      <c r="C52" s="53" t="s">
        <v>83</v>
      </c>
      <c r="D52" s="53" t="s">
        <v>31</v>
      </c>
      <c r="E52" s="36" t="s">
        <v>35</v>
      </c>
      <c r="F52" s="36" t="s">
        <v>35</v>
      </c>
      <c r="G52" s="36" t="s">
        <v>35</v>
      </c>
      <c r="H52" s="38" t="s">
        <v>73</v>
      </c>
      <c r="I52" s="40">
        <f>SUM(I53:I54)</f>
        <v>0</v>
      </c>
      <c r="J52" s="40">
        <f t="shared" ref="J52:U52" si="10">SUM(J53:J54)</f>
        <v>0</v>
      </c>
      <c r="K52" s="40">
        <f t="shared" si="10"/>
        <v>0</v>
      </c>
      <c r="L52" s="40">
        <f t="shared" si="10"/>
        <v>0</v>
      </c>
      <c r="M52" s="40">
        <f t="shared" si="10"/>
        <v>0</v>
      </c>
      <c r="N52" s="40">
        <f t="shared" si="10"/>
        <v>0</v>
      </c>
      <c r="O52" s="40">
        <f t="shared" si="10"/>
        <v>0</v>
      </c>
      <c r="P52" s="40">
        <f t="shared" si="10"/>
        <v>0</v>
      </c>
      <c r="Q52" s="40">
        <f t="shared" si="10"/>
        <v>0</v>
      </c>
      <c r="R52" s="39">
        <f t="shared" si="10"/>
        <v>154.607</v>
      </c>
      <c r="S52" s="40">
        <f t="shared" si="10"/>
        <v>0</v>
      </c>
      <c r="T52" s="40">
        <f t="shared" si="10"/>
        <v>0</v>
      </c>
      <c r="U52" s="40">
        <f t="shared" si="10"/>
        <v>0</v>
      </c>
    </row>
    <row r="53" spans="2:21" x14ac:dyDescent="0.25">
      <c r="B53" s="54"/>
      <c r="C53" s="54"/>
      <c r="D53" s="54"/>
      <c r="E53" s="42" t="s">
        <v>84</v>
      </c>
      <c r="F53" s="36" t="s">
        <v>20</v>
      </c>
      <c r="G53" s="36" t="s">
        <v>64</v>
      </c>
      <c r="H53" s="36" t="s">
        <v>53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39">
        <v>51.534999999999997</v>
      </c>
      <c r="S53" s="40">
        <v>0</v>
      </c>
      <c r="T53" s="40">
        <v>0</v>
      </c>
      <c r="U53" s="40">
        <v>0</v>
      </c>
    </row>
    <row r="54" spans="2:21" x14ac:dyDescent="0.25">
      <c r="B54" s="55"/>
      <c r="C54" s="55"/>
      <c r="D54" s="55"/>
      <c r="E54" s="42" t="s">
        <v>84</v>
      </c>
      <c r="F54" s="36" t="s">
        <v>20</v>
      </c>
      <c r="G54" s="36" t="s">
        <v>66</v>
      </c>
      <c r="H54" s="36" t="s">
        <v>23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39">
        <v>103.072</v>
      </c>
      <c r="S54" s="40">
        <v>0</v>
      </c>
      <c r="T54" s="40">
        <v>0</v>
      </c>
      <c r="U54" s="40">
        <v>0</v>
      </c>
    </row>
    <row r="55" spans="2:21" ht="141" customHeight="1" x14ac:dyDescent="0.25">
      <c r="B55" s="33" t="s">
        <v>38</v>
      </c>
      <c r="C55" s="33" t="s">
        <v>39</v>
      </c>
      <c r="D55" s="33" t="s">
        <v>31</v>
      </c>
      <c r="E55" s="36" t="s">
        <v>35</v>
      </c>
      <c r="F55" s="47" t="s">
        <v>35</v>
      </c>
      <c r="G55" s="47" t="s">
        <v>35</v>
      </c>
      <c r="H55" s="47" t="s">
        <v>35</v>
      </c>
      <c r="I55" s="48">
        <f>I56+I61+I62</f>
        <v>2200.3389999999999</v>
      </c>
      <c r="J55" s="48">
        <f>J56+J61+J62</f>
        <v>2051.2759999999998</v>
      </c>
      <c r="K55" s="48">
        <f t="shared" ref="K55:U55" si="11">K56+K61+K62</f>
        <v>2477.578</v>
      </c>
      <c r="L55" s="48">
        <f t="shared" si="11"/>
        <v>2641.3760000000002</v>
      </c>
      <c r="M55" s="48">
        <f t="shared" si="11"/>
        <v>2920.9340000000002</v>
      </c>
      <c r="N55" s="48">
        <f t="shared" si="11"/>
        <v>5784.4140000000007</v>
      </c>
      <c r="O55" s="48">
        <f t="shared" si="11"/>
        <v>5878.5039999999999</v>
      </c>
      <c r="P55" s="48">
        <f t="shared" si="11"/>
        <v>6069.4349999999995</v>
      </c>
      <c r="Q55" s="48">
        <f t="shared" si="11"/>
        <v>6331.82</v>
      </c>
      <c r="R55" s="48">
        <f t="shared" si="11"/>
        <v>2119.11</v>
      </c>
      <c r="S55" s="48">
        <f t="shared" si="11"/>
        <v>2042.5149999999999</v>
      </c>
      <c r="T55" s="48">
        <f t="shared" si="11"/>
        <v>2042.5149999999999</v>
      </c>
      <c r="U55" s="48">
        <f t="shared" si="11"/>
        <v>2042.5149999999999</v>
      </c>
    </row>
    <row r="56" spans="2:21" ht="60" customHeight="1" x14ac:dyDescent="0.25">
      <c r="B56" s="53" t="s">
        <v>40</v>
      </c>
      <c r="C56" s="57" t="s">
        <v>43</v>
      </c>
      <c r="D56" s="53"/>
      <c r="E56" s="36" t="s">
        <v>35</v>
      </c>
      <c r="F56" s="36" t="s">
        <v>35</v>
      </c>
      <c r="G56" s="36" t="s">
        <v>35</v>
      </c>
      <c r="H56" s="38" t="s">
        <v>73</v>
      </c>
      <c r="I56" s="37">
        <f>I57</f>
        <v>1252.385</v>
      </c>
      <c r="J56" s="37">
        <f t="shared" ref="J56:U56" si="12">J57</f>
        <v>1062.4169999999999</v>
      </c>
      <c r="K56" s="37">
        <f t="shared" si="12"/>
        <v>1271.627</v>
      </c>
      <c r="L56" s="37">
        <f t="shared" si="12"/>
        <v>1331.5840000000001</v>
      </c>
      <c r="M56" s="37">
        <f t="shared" si="12"/>
        <v>1595.5720000000001</v>
      </c>
      <c r="N56" s="37">
        <f t="shared" si="12"/>
        <v>4155.6350000000002</v>
      </c>
      <c r="O56" s="37">
        <f t="shared" si="12"/>
        <v>4156.2060000000001</v>
      </c>
      <c r="P56" s="37">
        <f t="shared" si="12"/>
        <v>4344.0349999999999</v>
      </c>
      <c r="Q56" s="37">
        <f t="shared" si="12"/>
        <v>3945</v>
      </c>
      <c r="R56" s="37">
        <f t="shared" si="12"/>
        <v>0</v>
      </c>
      <c r="S56" s="37">
        <f t="shared" si="12"/>
        <v>0</v>
      </c>
      <c r="T56" s="37">
        <f t="shared" si="12"/>
        <v>0</v>
      </c>
      <c r="U56" s="37">
        <f t="shared" si="12"/>
        <v>0</v>
      </c>
    </row>
    <row r="57" spans="2:21" x14ac:dyDescent="0.25">
      <c r="B57" s="54"/>
      <c r="C57" s="58"/>
      <c r="D57" s="54"/>
      <c r="E57" s="47" t="s">
        <v>19</v>
      </c>
      <c r="F57" s="47" t="s">
        <v>44</v>
      </c>
      <c r="G57" s="36" t="s">
        <v>45</v>
      </c>
      <c r="H57" s="47" t="s">
        <v>35</v>
      </c>
      <c r="I57" s="48">
        <f>I58+I59+I60</f>
        <v>1252.385</v>
      </c>
      <c r="J57" s="48">
        <f t="shared" ref="J57:U57" si="13">J58+J59+J60</f>
        <v>1062.4169999999999</v>
      </c>
      <c r="K57" s="48">
        <f t="shared" si="13"/>
        <v>1271.627</v>
      </c>
      <c r="L57" s="48">
        <f t="shared" si="13"/>
        <v>1331.5840000000001</v>
      </c>
      <c r="M57" s="48">
        <f t="shared" si="13"/>
        <v>1595.5720000000001</v>
      </c>
      <c r="N57" s="48">
        <f t="shared" si="13"/>
        <v>4155.6350000000002</v>
      </c>
      <c r="O57" s="48">
        <f t="shared" si="13"/>
        <v>4156.2060000000001</v>
      </c>
      <c r="P57" s="48">
        <f t="shared" si="13"/>
        <v>4344.0349999999999</v>
      </c>
      <c r="Q57" s="50">
        <f>Q58+Q59+Q60</f>
        <v>3945</v>
      </c>
      <c r="R57" s="50">
        <f t="shared" si="13"/>
        <v>0</v>
      </c>
      <c r="S57" s="48">
        <f t="shared" si="13"/>
        <v>0</v>
      </c>
      <c r="T57" s="48">
        <f t="shared" si="13"/>
        <v>0</v>
      </c>
      <c r="U57" s="48">
        <f t="shared" si="13"/>
        <v>0</v>
      </c>
    </row>
    <row r="58" spans="2:21" x14ac:dyDescent="0.25">
      <c r="B58" s="54"/>
      <c r="C58" s="58"/>
      <c r="D58" s="54"/>
      <c r="E58" s="47" t="s">
        <v>19</v>
      </c>
      <c r="F58" s="47" t="s">
        <v>44</v>
      </c>
      <c r="G58" s="36" t="s">
        <v>45</v>
      </c>
      <c r="H58" s="36" t="s">
        <v>22</v>
      </c>
      <c r="I58" s="39">
        <v>1154.1469999999999</v>
      </c>
      <c r="J58" s="39">
        <v>970.39499999999998</v>
      </c>
      <c r="K58" s="39">
        <v>1163.662</v>
      </c>
      <c r="L58" s="39">
        <v>1189.5340000000001</v>
      </c>
      <c r="M58" s="39">
        <v>1284.2280000000001</v>
      </c>
      <c r="N58" s="39">
        <v>3618.759</v>
      </c>
      <c r="O58" s="39">
        <v>3859.0709999999999</v>
      </c>
      <c r="P58" s="39">
        <v>4063.9349999999999</v>
      </c>
      <c r="Q58" s="49">
        <v>3632.2</v>
      </c>
      <c r="R58" s="40">
        <v>0</v>
      </c>
      <c r="S58" s="40">
        <v>0</v>
      </c>
      <c r="T58" s="40">
        <v>0</v>
      </c>
      <c r="U58" s="40">
        <v>0</v>
      </c>
    </row>
    <row r="59" spans="2:21" x14ac:dyDescent="0.25">
      <c r="B59" s="54"/>
      <c r="C59" s="58"/>
      <c r="D59" s="54"/>
      <c r="E59" s="47" t="s">
        <v>19</v>
      </c>
      <c r="F59" s="47" t="s">
        <v>44</v>
      </c>
      <c r="G59" s="36" t="s">
        <v>45</v>
      </c>
      <c r="H59" s="36" t="s">
        <v>23</v>
      </c>
      <c r="I59" s="39">
        <v>76.567999999999998</v>
      </c>
      <c r="J59" s="39">
        <v>82.507999999999996</v>
      </c>
      <c r="K59" s="39">
        <v>84.664000000000001</v>
      </c>
      <c r="L59" s="39">
        <v>137.55099999999999</v>
      </c>
      <c r="M59" s="39">
        <v>311.34399999999999</v>
      </c>
      <c r="N59" s="39">
        <v>536.87599999999998</v>
      </c>
      <c r="O59" s="39">
        <v>297.01</v>
      </c>
      <c r="P59" s="39">
        <v>280.10000000000002</v>
      </c>
      <c r="Q59" s="39">
        <v>312.8</v>
      </c>
      <c r="R59" s="40">
        <v>0</v>
      </c>
      <c r="S59" s="40">
        <v>0</v>
      </c>
      <c r="T59" s="40">
        <v>0</v>
      </c>
      <c r="U59" s="40">
        <v>0</v>
      </c>
    </row>
    <row r="60" spans="2:21" x14ac:dyDescent="0.25">
      <c r="B60" s="55"/>
      <c r="C60" s="59"/>
      <c r="D60" s="55"/>
      <c r="E60" s="47" t="s">
        <v>19</v>
      </c>
      <c r="F60" s="47" t="s">
        <v>44</v>
      </c>
      <c r="G60" s="36" t="s">
        <v>45</v>
      </c>
      <c r="H60" s="36" t="s">
        <v>24</v>
      </c>
      <c r="I60" s="39">
        <v>21.67</v>
      </c>
      <c r="J60" s="39">
        <v>9.5139999999999993</v>
      </c>
      <c r="K60" s="39">
        <v>23.300999999999998</v>
      </c>
      <c r="L60" s="39">
        <v>4.4989999999999997</v>
      </c>
      <c r="M60" s="40">
        <v>0</v>
      </c>
      <c r="N60" s="40">
        <v>0</v>
      </c>
      <c r="O60" s="39">
        <v>0.125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</row>
    <row r="61" spans="2:21" ht="159.75" customHeight="1" x14ac:dyDescent="0.25">
      <c r="B61" s="33" t="s">
        <v>46</v>
      </c>
      <c r="C61" s="35" t="s">
        <v>47</v>
      </c>
      <c r="D61" s="35"/>
      <c r="E61" s="47" t="s">
        <v>19</v>
      </c>
      <c r="F61" s="47" t="s">
        <v>44</v>
      </c>
      <c r="G61" s="36" t="s">
        <v>48</v>
      </c>
      <c r="H61" s="36" t="s">
        <v>22</v>
      </c>
      <c r="I61" s="37">
        <v>24.276</v>
      </c>
      <c r="J61" s="37">
        <v>24.276</v>
      </c>
      <c r="K61" s="37">
        <v>24.276</v>
      </c>
      <c r="L61" s="37">
        <v>37.188000000000002</v>
      </c>
      <c r="M61" s="37">
        <v>49.707999999999998</v>
      </c>
      <c r="N61" s="37">
        <v>52.872</v>
      </c>
      <c r="O61" s="37">
        <v>56.856000000000002</v>
      </c>
      <c r="P61" s="37">
        <v>59.957999999999998</v>
      </c>
      <c r="Q61" s="37">
        <f>8.334+2.517</f>
        <v>10.850999999999999</v>
      </c>
      <c r="R61" s="41">
        <v>0</v>
      </c>
      <c r="S61" s="41">
        <v>0</v>
      </c>
      <c r="T61" s="41">
        <v>0</v>
      </c>
      <c r="U61" s="41">
        <v>0</v>
      </c>
    </row>
    <row r="62" spans="2:21" ht="75" customHeight="1" x14ac:dyDescent="0.25">
      <c r="B62" s="53" t="s">
        <v>49</v>
      </c>
      <c r="C62" s="57" t="s">
        <v>50</v>
      </c>
      <c r="D62" s="57"/>
      <c r="E62" s="36" t="s">
        <v>35</v>
      </c>
      <c r="F62" s="36" t="s">
        <v>35</v>
      </c>
      <c r="G62" s="36" t="s">
        <v>35</v>
      </c>
      <c r="H62" s="38" t="s">
        <v>73</v>
      </c>
      <c r="I62" s="48">
        <f>SUM(I63:I65)</f>
        <v>923.678</v>
      </c>
      <c r="J62" s="48">
        <f t="shared" ref="J62:U62" si="14">SUM(J63:J65)</f>
        <v>964.58299999999997</v>
      </c>
      <c r="K62" s="48">
        <f t="shared" si="14"/>
        <v>1181.675</v>
      </c>
      <c r="L62" s="48">
        <f t="shared" si="14"/>
        <v>1272.604</v>
      </c>
      <c r="M62" s="48">
        <f t="shared" si="14"/>
        <v>1275.654</v>
      </c>
      <c r="N62" s="48">
        <f t="shared" si="14"/>
        <v>1575.9069999999999</v>
      </c>
      <c r="O62" s="48">
        <f t="shared" si="14"/>
        <v>1665.442</v>
      </c>
      <c r="P62" s="48">
        <f t="shared" si="14"/>
        <v>1665.442</v>
      </c>
      <c r="Q62" s="48">
        <f t="shared" si="14"/>
        <v>2375.9690000000001</v>
      </c>
      <c r="R62" s="48">
        <f t="shared" si="14"/>
        <v>2119.11</v>
      </c>
      <c r="S62" s="48">
        <f t="shared" si="14"/>
        <v>2042.5149999999999</v>
      </c>
      <c r="T62" s="48">
        <f t="shared" si="14"/>
        <v>2042.5149999999999</v>
      </c>
      <c r="U62" s="48">
        <f t="shared" si="14"/>
        <v>2042.5149999999999</v>
      </c>
    </row>
    <row r="63" spans="2:21" ht="15.75" customHeight="1" x14ac:dyDescent="0.25">
      <c r="B63" s="54"/>
      <c r="C63" s="58"/>
      <c r="D63" s="58"/>
      <c r="E63" s="36" t="s">
        <v>19</v>
      </c>
      <c r="F63" s="36" t="s">
        <v>51</v>
      </c>
      <c r="G63" s="36" t="s">
        <v>52</v>
      </c>
      <c r="H63" s="36" t="s">
        <v>53</v>
      </c>
      <c r="I63" s="39">
        <v>923.678</v>
      </c>
      <c r="J63" s="39">
        <v>964.58299999999997</v>
      </c>
      <c r="K63" s="39">
        <v>1181.675</v>
      </c>
      <c r="L63" s="39">
        <v>1272.604</v>
      </c>
      <c r="M63" s="39">
        <v>1275.654</v>
      </c>
      <c r="N63" s="39">
        <v>1575.9069999999999</v>
      </c>
      <c r="O63" s="39">
        <v>1665.442</v>
      </c>
      <c r="P63" s="39">
        <v>1665.442</v>
      </c>
      <c r="Q63" s="39">
        <v>847.02</v>
      </c>
      <c r="R63" s="40">
        <v>0</v>
      </c>
      <c r="S63" s="40">
        <v>0</v>
      </c>
      <c r="T63" s="40">
        <v>0</v>
      </c>
      <c r="U63" s="40">
        <v>0</v>
      </c>
    </row>
    <row r="64" spans="2:21" x14ac:dyDescent="0.25">
      <c r="B64" s="54"/>
      <c r="C64" s="58"/>
      <c r="D64" s="58"/>
      <c r="E64" s="36" t="s">
        <v>67</v>
      </c>
      <c r="F64" s="51" t="s">
        <v>20</v>
      </c>
      <c r="G64" s="51" t="s">
        <v>60</v>
      </c>
      <c r="H64" s="45">
        <v>112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5">
        <v>833.8</v>
      </c>
      <c r="R64" s="45">
        <v>1654.894</v>
      </c>
      <c r="S64" s="45">
        <v>1488.115</v>
      </c>
      <c r="T64" s="45">
        <v>1488.115</v>
      </c>
      <c r="U64" s="45">
        <v>1488.115</v>
      </c>
    </row>
    <row r="65" spans="2:21" x14ac:dyDescent="0.25">
      <c r="B65" s="55"/>
      <c r="C65" s="59"/>
      <c r="D65" s="59"/>
      <c r="E65" s="36" t="s">
        <v>67</v>
      </c>
      <c r="F65" s="51" t="s">
        <v>20</v>
      </c>
      <c r="G65" s="51" t="s">
        <v>60</v>
      </c>
      <c r="H65" s="45">
        <v>321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5">
        <v>695.149</v>
      </c>
      <c r="R65" s="52">
        <v>464.21600000000001</v>
      </c>
      <c r="S65" s="52">
        <v>554.4</v>
      </c>
      <c r="T65" s="52">
        <v>554.4</v>
      </c>
      <c r="U65" s="52">
        <v>554.4</v>
      </c>
    </row>
    <row r="66" spans="2:21" x14ac:dyDescent="0.25"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2:21" x14ac:dyDescent="0.25">
      <c r="Q67" s="1"/>
    </row>
    <row r="68" spans="2:21" x14ac:dyDescent="0.25">
      <c r="U68" s="2"/>
    </row>
    <row r="69" spans="2:21" x14ac:dyDescent="0.25">
      <c r="U69" s="2"/>
    </row>
  </sheetData>
  <mergeCells count="34">
    <mergeCell ref="D56:D60"/>
    <mergeCell ref="D62:D65"/>
    <mergeCell ref="B19:B31"/>
    <mergeCell ref="L1:N1"/>
    <mergeCell ref="L2:N2"/>
    <mergeCell ref="E5:H5"/>
    <mergeCell ref="C3:T3"/>
    <mergeCell ref="R1:T1"/>
    <mergeCell ref="R2:T2"/>
    <mergeCell ref="I5:U5"/>
    <mergeCell ref="B9:B13"/>
    <mergeCell ref="C9:C13"/>
    <mergeCell ref="C14:C18"/>
    <mergeCell ref="D9:D13"/>
    <mergeCell ref="D14:D18"/>
    <mergeCell ref="B14:B18"/>
    <mergeCell ref="B62:B65"/>
    <mergeCell ref="C62:C65"/>
    <mergeCell ref="B56:B60"/>
    <mergeCell ref="C56:C60"/>
    <mergeCell ref="C37:C40"/>
    <mergeCell ref="B52:B54"/>
    <mergeCell ref="C52:C54"/>
    <mergeCell ref="D52:D54"/>
    <mergeCell ref="C19:C31"/>
    <mergeCell ref="D19:D31"/>
    <mergeCell ref="B33:B35"/>
    <mergeCell ref="C33:C35"/>
    <mergeCell ref="D33:D35"/>
    <mergeCell ref="B37:B40"/>
    <mergeCell ref="D37:D40"/>
    <mergeCell ref="B41:B50"/>
    <mergeCell ref="C41:C50"/>
    <mergeCell ref="D41:D50"/>
  </mergeCells>
  <pageMargins left="0.11811023622047245" right="0.11811023622047245" top="0.19685039370078741" bottom="0.15748031496062992" header="0.11811023622047245" footer="0.11811023622047245"/>
  <pageSetup paperSize="9" scale="55" fitToHeight="0" orientation="landscape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view="pageBreakPreview" zoomScale="60" zoomScaleNormal="100" workbookViewId="0">
      <selection activeCell="N16" sqref="N16"/>
    </sheetView>
  </sheetViews>
  <sheetFormatPr defaultRowHeight="15" x14ac:dyDescent="0.25"/>
  <cols>
    <col min="1" max="1" width="9.7109375" style="6" customWidth="1"/>
    <col min="2" max="2" width="40.140625" style="6" customWidth="1"/>
    <col min="3" max="3" width="14.7109375" style="7" customWidth="1"/>
    <col min="4" max="4" width="11.42578125" style="6" customWidth="1"/>
    <col min="5" max="5" width="11.85546875" style="6" bestFit="1" customWidth="1"/>
    <col min="6" max="7" width="11.42578125" style="6" customWidth="1"/>
    <col min="8" max="10" width="12.28515625" style="6" customWidth="1"/>
    <col min="11" max="11" width="12.5703125" style="6" customWidth="1"/>
    <col min="12" max="12" width="11.42578125" style="6" customWidth="1"/>
    <col min="13" max="13" width="12.28515625" style="6" customWidth="1"/>
    <col min="14" max="14" width="11.5703125" style="6" customWidth="1"/>
    <col min="15" max="15" width="12.140625" style="6" customWidth="1"/>
    <col min="16" max="16" width="12" style="6" customWidth="1"/>
    <col min="17" max="17" width="21.140625" style="6" hidden="1" customWidth="1"/>
    <col min="18" max="18" width="13.7109375" style="6" customWidth="1"/>
    <col min="19" max="16384" width="9.140625" style="6"/>
  </cols>
  <sheetData>
    <row r="1" spans="1:18" x14ac:dyDescent="0.25">
      <c r="G1" s="68"/>
      <c r="H1" s="68"/>
      <c r="I1" s="68"/>
      <c r="L1" s="68" t="s">
        <v>54</v>
      </c>
      <c r="M1" s="68"/>
      <c r="N1" s="68"/>
    </row>
    <row r="2" spans="1:18" ht="42" customHeight="1" x14ac:dyDescent="0.25">
      <c r="G2" s="68"/>
      <c r="H2" s="68"/>
      <c r="I2" s="68"/>
      <c r="L2" s="74" t="s">
        <v>2</v>
      </c>
      <c r="M2" s="74"/>
      <c r="N2" s="74"/>
      <c r="O2" s="74"/>
      <c r="P2" s="74"/>
    </row>
    <row r="4" spans="1:18" ht="54.75" customHeight="1" x14ac:dyDescent="0.25">
      <c r="B4" s="69" t="s">
        <v>55</v>
      </c>
      <c r="C4" s="69"/>
      <c r="D4" s="69"/>
      <c r="E4" s="69"/>
      <c r="F4" s="69"/>
      <c r="G4" s="69"/>
      <c r="H4" s="69"/>
      <c r="I4" s="68"/>
      <c r="J4" s="68"/>
      <c r="K4" s="68"/>
      <c r="L4" s="68"/>
      <c r="M4" s="68"/>
    </row>
    <row r="6" spans="1:18" ht="81" customHeight="1" x14ac:dyDescent="0.25">
      <c r="A6" s="8" t="s">
        <v>3</v>
      </c>
      <c r="B6" s="9" t="s">
        <v>78</v>
      </c>
      <c r="C6" s="9" t="s">
        <v>56</v>
      </c>
      <c r="D6" s="70" t="s">
        <v>57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2"/>
      <c r="P6" s="73"/>
    </row>
    <row r="7" spans="1:18" ht="33.75" customHeight="1" x14ac:dyDescent="0.35">
      <c r="A7" s="10"/>
      <c r="B7" s="10"/>
      <c r="C7" s="5"/>
      <c r="D7" s="8">
        <v>2014</v>
      </c>
      <c r="E7" s="8">
        <v>2015</v>
      </c>
      <c r="F7" s="8">
        <v>2016</v>
      </c>
      <c r="G7" s="8">
        <v>2017</v>
      </c>
      <c r="H7" s="8">
        <v>2018</v>
      </c>
      <c r="I7" s="8">
        <v>2019</v>
      </c>
      <c r="J7" s="8">
        <v>2020</v>
      </c>
      <c r="K7" s="8">
        <v>2021</v>
      </c>
      <c r="L7" s="8">
        <v>2022</v>
      </c>
      <c r="M7" s="8">
        <v>2023</v>
      </c>
      <c r="N7" s="8">
        <v>2024</v>
      </c>
      <c r="O7" s="8">
        <v>2025</v>
      </c>
      <c r="P7" s="8">
        <v>2026</v>
      </c>
      <c r="Q7" s="11"/>
    </row>
    <row r="8" spans="1:18" ht="47.25" customHeight="1" x14ac:dyDescent="0.25">
      <c r="A8" s="12" t="s">
        <v>12</v>
      </c>
      <c r="B8" s="12" t="s">
        <v>79</v>
      </c>
      <c r="C8" s="9" t="s">
        <v>77</v>
      </c>
      <c r="D8" s="13">
        <f>D9+D10+D11</f>
        <v>25895.25</v>
      </c>
      <c r="E8" s="13">
        <f t="shared" ref="E8:Q8" si="0">E9+E10+E11</f>
        <v>16496.638999999999</v>
      </c>
      <c r="F8" s="13">
        <f t="shared" si="0"/>
        <v>21064.097999999998</v>
      </c>
      <c r="G8" s="13">
        <f t="shared" si="0"/>
        <v>22239.128000000001</v>
      </c>
      <c r="H8" s="25">
        <f t="shared" si="0"/>
        <v>32054.262999999999</v>
      </c>
      <c r="I8" s="25">
        <f t="shared" si="0"/>
        <v>36462.409</v>
      </c>
      <c r="J8" s="25">
        <f t="shared" si="0"/>
        <v>35016.733</v>
      </c>
      <c r="K8" s="25">
        <f t="shared" si="0"/>
        <v>35629.772000000004</v>
      </c>
      <c r="L8" s="25">
        <f t="shared" si="0"/>
        <v>36068.137999999999</v>
      </c>
      <c r="M8" s="25">
        <f t="shared" si="0"/>
        <v>60174.217999999993</v>
      </c>
      <c r="N8" s="25">
        <f t="shared" si="0"/>
        <v>59001.528000000006</v>
      </c>
      <c r="O8" s="25">
        <f t="shared" si="0"/>
        <v>40972.800000000003</v>
      </c>
      <c r="P8" s="25">
        <f t="shared" si="0"/>
        <v>41674.024000000005</v>
      </c>
      <c r="Q8" s="13">
        <f t="shared" si="0"/>
        <v>0</v>
      </c>
      <c r="R8" s="14"/>
    </row>
    <row r="9" spans="1:18" ht="47.25" customHeight="1" x14ac:dyDescent="0.25">
      <c r="A9" s="12"/>
      <c r="B9" s="12"/>
      <c r="C9" s="15" t="s">
        <v>76</v>
      </c>
      <c r="D9" s="21">
        <f>D13+D17+D21</f>
        <v>0</v>
      </c>
      <c r="E9" s="21">
        <v>0</v>
      </c>
      <c r="F9" s="21">
        <v>0</v>
      </c>
      <c r="G9" s="21">
        <v>0</v>
      </c>
      <c r="H9" s="26">
        <v>0</v>
      </c>
      <c r="I9" s="27">
        <f t="shared" ref="I9:J11" si="1">I13+I17+I21</f>
        <v>1133.1320000000001</v>
      </c>
      <c r="J9" s="27">
        <f t="shared" si="1"/>
        <v>435</v>
      </c>
      <c r="K9" s="26">
        <v>0</v>
      </c>
      <c r="L9" s="26">
        <v>0</v>
      </c>
      <c r="M9" s="27">
        <f t="shared" ref="M9:N11" si="2">M13+M17+M21</f>
        <v>1005.831</v>
      </c>
      <c r="N9" s="27">
        <f t="shared" si="2"/>
        <v>585</v>
      </c>
      <c r="O9" s="26">
        <v>0</v>
      </c>
      <c r="P9" s="26">
        <v>0</v>
      </c>
      <c r="Q9" s="13">
        <f>Q13+Q17+Q21</f>
        <v>0</v>
      </c>
      <c r="R9" s="14"/>
    </row>
    <row r="10" spans="1:18" ht="47.25" customHeight="1" x14ac:dyDescent="0.25">
      <c r="A10" s="12"/>
      <c r="B10" s="12"/>
      <c r="C10" s="16" t="s">
        <v>59</v>
      </c>
      <c r="D10" s="4">
        <f>D14+D18+D22</f>
        <v>1272.954</v>
      </c>
      <c r="E10" s="4">
        <f t="shared" ref="E10:H11" si="3">E14+E18+E22</f>
        <v>1338.8589999999999</v>
      </c>
      <c r="F10" s="4">
        <f t="shared" si="3"/>
        <v>3139.7080000000001</v>
      </c>
      <c r="G10" s="4">
        <f t="shared" si="3"/>
        <v>1309.7920000000001</v>
      </c>
      <c r="H10" s="27">
        <f t="shared" si="3"/>
        <v>1325.3620000000001</v>
      </c>
      <c r="I10" s="27">
        <f t="shared" si="1"/>
        <v>1798.097</v>
      </c>
      <c r="J10" s="27">
        <f t="shared" si="1"/>
        <v>1787.298</v>
      </c>
      <c r="K10" s="27">
        <f>K14+K18+K22</f>
        <v>1725.4</v>
      </c>
      <c r="L10" s="27">
        <f>L14+L18+L22</f>
        <v>2386.8200000000002</v>
      </c>
      <c r="M10" s="27">
        <f t="shared" si="2"/>
        <v>9202.6059999999998</v>
      </c>
      <c r="N10" s="27">
        <f t="shared" si="2"/>
        <v>7770.1240000000007</v>
      </c>
      <c r="O10" s="27">
        <f>O14+O18+O22</f>
        <v>2042.5150000000001</v>
      </c>
      <c r="P10" s="27">
        <f>P14+P18+P22</f>
        <v>2042.5150000000001</v>
      </c>
      <c r="Q10" s="13">
        <f>Q14+Q18+Q22</f>
        <v>0</v>
      </c>
      <c r="R10" s="14"/>
    </row>
    <row r="11" spans="1:18" ht="47.25" customHeight="1" x14ac:dyDescent="0.25">
      <c r="A11" s="12"/>
      <c r="B11" s="12"/>
      <c r="C11" s="17" t="s">
        <v>58</v>
      </c>
      <c r="D11" s="4">
        <f>D15+D19+D23</f>
        <v>24622.295999999998</v>
      </c>
      <c r="E11" s="4">
        <f t="shared" si="3"/>
        <v>15157.78</v>
      </c>
      <c r="F11" s="4">
        <f t="shared" si="3"/>
        <v>17924.39</v>
      </c>
      <c r="G11" s="4">
        <f t="shared" si="3"/>
        <v>20929.335999999999</v>
      </c>
      <c r="H11" s="27">
        <f t="shared" si="3"/>
        <v>30728.900999999998</v>
      </c>
      <c r="I11" s="27">
        <f t="shared" si="1"/>
        <v>33531.18</v>
      </c>
      <c r="J11" s="27">
        <f t="shared" si="1"/>
        <v>32794.434999999998</v>
      </c>
      <c r="K11" s="27">
        <f>K15+K19+K23</f>
        <v>33904.372000000003</v>
      </c>
      <c r="L11" s="27">
        <f>L15+L19+L23</f>
        <v>33681.317999999999</v>
      </c>
      <c r="M11" s="27">
        <f t="shared" si="2"/>
        <v>49965.780999999995</v>
      </c>
      <c r="N11" s="27">
        <f t="shared" si="2"/>
        <v>50646.404000000002</v>
      </c>
      <c r="O11" s="27">
        <f>O15+O19+O23</f>
        <v>38930.285000000003</v>
      </c>
      <c r="P11" s="27">
        <f>P15+P19+P23</f>
        <v>39631.509000000005</v>
      </c>
      <c r="Q11" s="13">
        <f>Q15+Q19+Q23</f>
        <v>0</v>
      </c>
      <c r="R11" s="14"/>
    </row>
    <row r="12" spans="1:18" ht="31.5" x14ac:dyDescent="0.35">
      <c r="A12" s="12" t="s">
        <v>15</v>
      </c>
      <c r="B12" s="12" t="s">
        <v>16</v>
      </c>
      <c r="C12" s="9" t="s">
        <v>77</v>
      </c>
      <c r="D12" s="13">
        <f>D13+D14+D15</f>
        <v>21246.806</v>
      </c>
      <c r="E12" s="13">
        <f t="shared" ref="E12:P12" si="4">E13+E14+E15</f>
        <v>8591.8780000000006</v>
      </c>
      <c r="F12" s="13">
        <f t="shared" si="4"/>
        <v>12755.177999999998</v>
      </c>
      <c r="G12" s="13">
        <f t="shared" si="4"/>
        <v>12024.956</v>
      </c>
      <c r="H12" s="25">
        <f t="shared" si="4"/>
        <v>20364.751</v>
      </c>
      <c r="I12" s="25">
        <f t="shared" si="4"/>
        <v>20013.232</v>
      </c>
      <c r="J12" s="25">
        <f t="shared" si="4"/>
        <v>19200.423999999999</v>
      </c>
      <c r="K12" s="25">
        <f t="shared" si="4"/>
        <v>18222.718000000001</v>
      </c>
      <c r="L12" s="25">
        <f t="shared" si="4"/>
        <v>17811.169999999998</v>
      </c>
      <c r="M12" s="25">
        <f t="shared" si="4"/>
        <v>42897.851999999999</v>
      </c>
      <c r="N12" s="25">
        <f t="shared" si="4"/>
        <v>41182.598000000005</v>
      </c>
      <c r="O12" s="25">
        <f t="shared" si="4"/>
        <v>27880.971000000001</v>
      </c>
      <c r="P12" s="25">
        <f t="shared" si="4"/>
        <v>28377.613000000001</v>
      </c>
      <c r="Q12" s="11"/>
      <c r="R12" s="14"/>
    </row>
    <row r="13" spans="1:18" ht="30" x14ac:dyDescent="0.35">
      <c r="A13" s="12"/>
      <c r="B13" s="18"/>
      <c r="C13" s="15" t="s">
        <v>76</v>
      </c>
      <c r="D13" s="21">
        <v>0</v>
      </c>
      <c r="E13" s="21">
        <v>0</v>
      </c>
      <c r="F13" s="21">
        <v>0</v>
      </c>
      <c r="G13" s="21">
        <v>0</v>
      </c>
      <c r="H13" s="26">
        <v>0</v>
      </c>
      <c r="I13" s="27">
        <f>1133.132</f>
        <v>1133.1320000000001</v>
      </c>
      <c r="J13" s="27">
        <f>435</f>
        <v>435</v>
      </c>
      <c r="K13" s="26">
        <v>0</v>
      </c>
      <c r="L13" s="26">
        <v>0</v>
      </c>
      <c r="M13" s="27">
        <f>50+100+705.831</f>
        <v>855.83100000000002</v>
      </c>
      <c r="N13" s="27">
        <f>50+100+435</f>
        <v>585</v>
      </c>
      <c r="O13" s="26">
        <v>0</v>
      </c>
      <c r="P13" s="26">
        <v>0</v>
      </c>
      <c r="Q13" s="11"/>
      <c r="R13" s="14"/>
    </row>
    <row r="14" spans="1:18" ht="30" x14ac:dyDescent="0.35">
      <c r="A14" s="12"/>
      <c r="B14" s="18"/>
      <c r="C14" s="16" t="s">
        <v>59</v>
      </c>
      <c r="D14" s="4">
        <v>325</v>
      </c>
      <c r="E14" s="4">
        <v>350</v>
      </c>
      <c r="F14" s="4">
        <f>750+1183.757</f>
        <v>1933.7570000000001</v>
      </c>
      <c r="G14" s="21">
        <v>0</v>
      </c>
      <c r="H14" s="26">
        <v>0</v>
      </c>
      <c r="I14" s="27">
        <f>169.318</f>
        <v>169.31800000000001</v>
      </c>
      <c r="J14" s="27">
        <f>65</f>
        <v>65</v>
      </c>
      <c r="K14" s="26">
        <v>0</v>
      </c>
      <c r="L14" s="26">
        <v>0</v>
      </c>
      <c r="M14" s="27">
        <f>1.02+2.041+6971.905+105.469</f>
        <v>7080.4349999999995</v>
      </c>
      <c r="N14" s="27">
        <f>1.021+2.041+3650.232+65</f>
        <v>3718.2939999999999</v>
      </c>
      <c r="O14" s="26">
        <v>0</v>
      </c>
      <c r="P14" s="26">
        <v>0</v>
      </c>
      <c r="Q14" s="11"/>
      <c r="R14" s="14"/>
    </row>
    <row r="15" spans="1:18" ht="30" x14ac:dyDescent="0.35">
      <c r="A15" s="12"/>
      <c r="B15" s="18"/>
      <c r="C15" s="17" t="s">
        <v>58</v>
      </c>
      <c r="D15" s="4">
        <f>20841.806+80</f>
        <v>20921.806</v>
      </c>
      <c r="E15" s="4">
        <v>8241.8780000000006</v>
      </c>
      <c r="F15" s="4">
        <f>10719.389+50+52.032</f>
        <v>10821.420999999998</v>
      </c>
      <c r="G15" s="4">
        <v>12024.956</v>
      </c>
      <c r="H15" s="27">
        <v>20364.751</v>
      </c>
      <c r="I15" s="27">
        <f>68.55+18642.232</f>
        <v>18710.781999999999</v>
      </c>
      <c r="J15" s="27">
        <f>25+18675.424</f>
        <v>18700.423999999999</v>
      </c>
      <c r="K15" s="27">
        <v>18222.718000000001</v>
      </c>
      <c r="L15" s="27">
        <v>17811.169999999998</v>
      </c>
      <c r="M15" s="27">
        <f>0.515+1.031+12906.654+22010.686+42.7</f>
        <v>34961.585999999996</v>
      </c>
      <c r="N15" s="27">
        <f>0.515+1.031+17454.647+17602.664+25+987.3+808.147</f>
        <v>36879.304000000004</v>
      </c>
      <c r="O15" s="27">
        <v>27880.971000000001</v>
      </c>
      <c r="P15" s="27">
        <v>28377.613000000001</v>
      </c>
      <c r="Q15" s="11"/>
      <c r="R15" s="14"/>
    </row>
    <row r="16" spans="1:18" ht="29.25" customHeight="1" x14ac:dyDescent="0.25">
      <c r="A16" s="19" t="s">
        <v>32</v>
      </c>
      <c r="B16" s="19" t="s">
        <v>42</v>
      </c>
      <c r="C16" s="9" t="s">
        <v>77</v>
      </c>
      <c r="D16" s="20">
        <f>D17+D18+D19</f>
        <v>2448.105</v>
      </c>
      <c r="E16" s="20">
        <f t="shared" ref="E16:Q16" si="5">E17+E18+E19</f>
        <v>5853.4849999999997</v>
      </c>
      <c r="F16" s="20">
        <f t="shared" si="5"/>
        <v>5831.3419999999996</v>
      </c>
      <c r="G16" s="20">
        <f t="shared" si="5"/>
        <v>7572.7960000000003</v>
      </c>
      <c r="H16" s="28">
        <f t="shared" si="5"/>
        <v>8768.5779999999995</v>
      </c>
      <c r="I16" s="28">
        <f t="shared" si="5"/>
        <v>10664.763000000001</v>
      </c>
      <c r="J16" s="28">
        <f t="shared" si="5"/>
        <v>9937.8050000000003</v>
      </c>
      <c r="K16" s="28">
        <f t="shared" si="5"/>
        <v>11337.619000000001</v>
      </c>
      <c r="L16" s="28">
        <f t="shared" si="5"/>
        <v>11925.147999999999</v>
      </c>
      <c r="M16" s="28">
        <f t="shared" si="5"/>
        <v>15157.255999999999</v>
      </c>
      <c r="N16" s="28">
        <f t="shared" si="5"/>
        <v>15776.414999999999</v>
      </c>
      <c r="O16" s="28">
        <f t="shared" si="5"/>
        <v>11049.314</v>
      </c>
      <c r="P16" s="28">
        <f t="shared" si="5"/>
        <v>11253.896000000001</v>
      </c>
      <c r="Q16" s="20">
        <f t="shared" si="5"/>
        <v>0</v>
      </c>
      <c r="R16" s="14"/>
    </row>
    <row r="17" spans="1:18" ht="30" x14ac:dyDescent="0.35">
      <c r="A17" s="19"/>
      <c r="B17" s="19"/>
      <c r="C17" s="16" t="s">
        <v>76</v>
      </c>
      <c r="D17" s="22">
        <v>0</v>
      </c>
      <c r="E17" s="22">
        <v>0</v>
      </c>
      <c r="F17" s="22">
        <v>0</v>
      </c>
      <c r="G17" s="22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30">
        <f>50+100</f>
        <v>150</v>
      </c>
      <c r="N17" s="29">
        <v>0</v>
      </c>
      <c r="O17" s="29">
        <v>0</v>
      </c>
      <c r="P17" s="29">
        <v>0</v>
      </c>
      <c r="Q17" s="11"/>
      <c r="R17" s="14"/>
    </row>
    <row r="18" spans="1:18" ht="30" x14ac:dyDescent="0.35">
      <c r="A18" s="19"/>
      <c r="B18" s="19"/>
      <c r="C18" s="16" t="s">
        <v>59</v>
      </c>
      <c r="D18" s="22">
        <v>0</v>
      </c>
      <c r="E18" s="22">
        <v>0</v>
      </c>
      <c r="F18" s="22">
        <v>0</v>
      </c>
      <c r="G18" s="22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30">
        <f>1.02+2.041</f>
        <v>3.0609999999999999</v>
      </c>
      <c r="N18" s="30">
        <v>2009.3150000000001</v>
      </c>
      <c r="O18" s="29">
        <v>0</v>
      </c>
      <c r="P18" s="29">
        <v>0</v>
      </c>
      <c r="Q18" s="11"/>
      <c r="R18" s="14"/>
    </row>
    <row r="19" spans="1:18" ht="30" x14ac:dyDescent="0.35">
      <c r="A19" s="19"/>
      <c r="B19" s="19"/>
      <c r="C19" s="16" t="s">
        <v>58</v>
      </c>
      <c r="D19" s="4">
        <v>2448.105</v>
      </c>
      <c r="E19" s="4">
        <v>5853.4849999999997</v>
      </c>
      <c r="F19" s="23">
        <v>5831.3419999999996</v>
      </c>
      <c r="G19" s="23">
        <v>7572.7960000000003</v>
      </c>
      <c r="H19" s="30">
        <v>8768.5779999999995</v>
      </c>
      <c r="I19" s="30">
        <v>10664.763000000001</v>
      </c>
      <c r="J19" s="27">
        <v>9937.8050000000003</v>
      </c>
      <c r="K19" s="30">
        <v>11337.619000000001</v>
      </c>
      <c r="L19" s="27">
        <v>11925.147999999999</v>
      </c>
      <c r="M19" s="30">
        <f>0.515+1.031+15002.649</f>
        <v>15004.195</v>
      </c>
      <c r="N19" s="30">
        <f>9605.22+4161.88</f>
        <v>13767.099999999999</v>
      </c>
      <c r="O19" s="27">
        <v>11049.314</v>
      </c>
      <c r="P19" s="24">
        <v>11253.896000000001</v>
      </c>
      <c r="Q19" s="11"/>
      <c r="R19" s="14"/>
    </row>
    <row r="20" spans="1:18" ht="81" customHeight="1" x14ac:dyDescent="0.25">
      <c r="A20" s="19" t="s">
        <v>38</v>
      </c>
      <c r="B20" s="19" t="s">
        <v>39</v>
      </c>
      <c r="C20" s="9" t="s">
        <v>77</v>
      </c>
      <c r="D20" s="20">
        <f>D21+D22+D23</f>
        <v>2200.3389999999999</v>
      </c>
      <c r="E20" s="20">
        <f t="shared" ref="E20:Q20" si="6">E21+E22+E23</f>
        <v>2051.2759999999998</v>
      </c>
      <c r="F20" s="20">
        <f t="shared" si="6"/>
        <v>2477.578</v>
      </c>
      <c r="G20" s="20">
        <f t="shared" si="6"/>
        <v>2641.3760000000002</v>
      </c>
      <c r="H20" s="28">
        <f t="shared" si="6"/>
        <v>2920.9340000000002</v>
      </c>
      <c r="I20" s="28">
        <f t="shared" si="6"/>
        <v>5784.4140000000007</v>
      </c>
      <c r="J20" s="28">
        <f>J21+J22+J23</f>
        <v>5878.5039999999999</v>
      </c>
      <c r="K20" s="28">
        <f t="shared" si="6"/>
        <v>6069.4349999999995</v>
      </c>
      <c r="L20" s="28">
        <f>L21+L22+L23</f>
        <v>6331.82</v>
      </c>
      <c r="M20" s="28">
        <f t="shared" si="6"/>
        <v>2119.11</v>
      </c>
      <c r="N20" s="28">
        <f t="shared" si="6"/>
        <v>2042.5150000000001</v>
      </c>
      <c r="O20" s="28">
        <f t="shared" si="6"/>
        <v>2042.5150000000001</v>
      </c>
      <c r="P20" s="28">
        <f t="shared" si="6"/>
        <v>2042.5150000000001</v>
      </c>
      <c r="Q20" s="20">
        <f t="shared" si="6"/>
        <v>0</v>
      </c>
      <c r="R20" s="14"/>
    </row>
    <row r="21" spans="1:18" ht="30" x14ac:dyDescent="0.35">
      <c r="A21" s="19"/>
      <c r="B21" s="19"/>
      <c r="C21" s="16" t="s">
        <v>76</v>
      </c>
      <c r="D21" s="22">
        <v>0</v>
      </c>
      <c r="E21" s="22">
        <v>0</v>
      </c>
      <c r="F21" s="22">
        <v>0</v>
      </c>
      <c r="G21" s="22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11"/>
      <c r="R21" s="14"/>
    </row>
    <row r="22" spans="1:18" ht="30" x14ac:dyDescent="0.35">
      <c r="A22" s="19"/>
      <c r="B22" s="19"/>
      <c r="C22" s="16" t="s">
        <v>59</v>
      </c>
      <c r="D22" s="23">
        <f>24.276+923.678</f>
        <v>947.95399999999995</v>
      </c>
      <c r="E22" s="23">
        <f>24.276+964.583</f>
        <v>988.85899999999992</v>
      </c>
      <c r="F22" s="23">
        <f>24.276+1181.675</f>
        <v>1205.951</v>
      </c>
      <c r="G22" s="23">
        <f>37.188+1272.604</f>
        <v>1309.7920000000001</v>
      </c>
      <c r="H22" s="30">
        <f>49.708+1275.654</f>
        <v>1325.3620000000001</v>
      </c>
      <c r="I22" s="30">
        <f>52.872+1575.907</f>
        <v>1628.779</v>
      </c>
      <c r="J22" s="30">
        <f>56.856+1665.442</f>
        <v>1722.298</v>
      </c>
      <c r="K22" s="30">
        <f>59.958+1665.442</f>
        <v>1725.4</v>
      </c>
      <c r="L22" s="30">
        <f>10.851+1680.82+695.149</f>
        <v>2386.8200000000002</v>
      </c>
      <c r="M22" s="30">
        <v>2119.11</v>
      </c>
      <c r="N22" s="30">
        <v>2042.5150000000001</v>
      </c>
      <c r="O22" s="30">
        <v>2042.5150000000001</v>
      </c>
      <c r="P22" s="30">
        <v>2042.5150000000001</v>
      </c>
      <c r="Q22" s="11"/>
      <c r="R22" s="14"/>
    </row>
    <row r="23" spans="1:18" ht="30" x14ac:dyDescent="0.35">
      <c r="A23" s="19"/>
      <c r="B23" s="19"/>
      <c r="C23" s="16" t="s">
        <v>58</v>
      </c>
      <c r="D23" s="23">
        <v>1252.385</v>
      </c>
      <c r="E23" s="23">
        <v>1062.4169999999999</v>
      </c>
      <c r="F23" s="23">
        <v>1271.627</v>
      </c>
      <c r="G23" s="23">
        <v>1331.5840000000001</v>
      </c>
      <c r="H23" s="30">
        <v>1595.5719999999999</v>
      </c>
      <c r="I23" s="30">
        <v>4155.6350000000002</v>
      </c>
      <c r="J23" s="30">
        <v>4156.2060000000001</v>
      </c>
      <c r="K23" s="30">
        <v>4344.0349999999999</v>
      </c>
      <c r="L23" s="30">
        <f>3945</f>
        <v>3945</v>
      </c>
      <c r="M23" s="29">
        <v>0</v>
      </c>
      <c r="N23" s="29">
        <v>0</v>
      </c>
      <c r="O23" s="29">
        <v>0</v>
      </c>
      <c r="P23" s="29">
        <v>0</v>
      </c>
      <c r="Q23" s="11"/>
      <c r="R23" s="14"/>
    </row>
    <row r="25" spans="1:18" x14ac:dyDescent="0.25">
      <c r="I25" s="14"/>
    </row>
  </sheetData>
  <mergeCells count="6">
    <mergeCell ref="G1:I1"/>
    <mergeCell ref="G2:I2"/>
    <mergeCell ref="B4:M4"/>
    <mergeCell ref="L1:N1"/>
    <mergeCell ref="D6:P6"/>
    <mergeCell ref="L2:P2"/>
  </mergeCells>
  <pageMargins left="0.27559055118110237" right="0.15748031496062992" top="0.27559055118110237" bottom="0.31496062992125984" header="0.11811023622047245" footer="0.11811023622047245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5</vt:lpstr>
      <vt:lpstr>Приложение 6</vt:lpstr>
      <vt:lpstr>Лист3</vt:lpstr>
      <vt:lpstr>'Приложение 5'!Заголовки_для_печати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katay</cp:lastModifiedBy>
  <cp:lastPrinted>2024-06-28T07:39:58Z</cp:lastPrinted>
  <dcterms:created xsi:type="dcterms:W3CDTF">2022-05-05T13:13:56Z</dcterms:created>
  <dcterms:modified xsi:type="dcterms:W3CDTF">2024-06-28T07:40:13Z</dcterms:modified>
</cp:coreProperties>
</file>